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dido" sheetId="1" r:id="rId4"/>
    <sheet state="hidden" name="Espécies" sheetId="2" r:id="rId5"/>
    <sheet state="hidden" name="ORÇAMENTO COMPLETO" sheetId="3" r:id="rId6"/>
    <sheet state="hidden" name="ORÇAMENTO" sheetId="4" r:id="rId7"/>
  </sheets>
  <definedNames>
    <definedName hidden="1" localSheetId="0" name="_xlnm._FilterDatabase">Pedido!$B$11:$K$1160</definedName>
    <definedName hidden="1" localSheetId="2" name="_xlnm._FilterDatabase">'ORÇAMENTO COMPLETO'!$A$1:$BE$994</definedName>
    <definedName hidden="1" localSheetId="3" name="_xlnm._FilterDatabase">'ORÇAMENTO'!$A$1:$AK$146</definedName>
  </definedNames>
  <calcPr/>
  <extLst>
    <ext uri="GoogleSheetsCustomDataVersion2">
      <go:sheetsCustomData xmlns:go="http://customooxmlschemas.google.com/" r:id="rId8" roundtripDataChecksum="ReHUhoG/i1sUUuuyICIRRbrKGUmGJvcv9Gmt3MxiGBQ="/>
    </ext>
  </extLst>
</workbook>
</file>

<file path=xl/sharedStrings.xml><?xml version="1.0" encoding="utf-8"?>
<sst xmlns="http://schemas.openxmlformats.org/spreadsheetml/2006/main" count="3021" uniqueCount="732">
  <si>
    <t xml:space="preserve">COMO PREENCHER: INSIRA AS QUANTIDADES PRETENDIDAS NA COLUNA "PEDIDO". OBSERVE O MÍNIMO POR ESPÉCIE. SE ESTE ESTIVER ADEQUADO A COLUNA "DEFERIMENTO" IRÁ SINALIZAR COM PEDIDO ACEITO OU RECUSADO PARA A DETERMINADA ESPÉCIE. NO VALOR TOTAL TEMOS O VALOR MÍNIMO DE 1000,00 REAIS POR PEDIDO. AO FINAL DA SOLICITAÇÃO A COLUNA "DEFERIMENTO MÍNIMO" TEM QUE ESTAR TODA ACEITA (VERDE) E O PEDIDO FINAL DEFERIDO. SOMENTE ASSIM O PEDIDO SERÁ RECEPCIONADO PELA NOSSA EQUIPE. </t>
  </si>
  <si>
    <t>Ed. Imperador, sala 102
SEPN 513, Bloco D, Lote 38 S/Nº - Asa Norte
Brasília/DF
CEP:70769900</t>
  </si>
  <si>
    <t>DF-00229/2013</t>
  </si>
  <si>
    <r>
      <rPr>
        <rFont val="Calibri"/>
        <sz val="12.0"/>
      </rPr>
      <t xml:space="preserve">Tel: (61) 3256-1938  -   site: </t>
    </r>
    <r>
      <rPr>
        <rFont val="Calibri"/>
        <color rgb="FFC00000"/>
        <sz val="12.0"/>
        <u/>
      </rPr>
      <t>http://www.rsc.org.br</t>
    </r>
  </si>
  <si>
    <t>Cliente:</t>
  </si>
  <si>
    <r>
      <rPr>
        <rFont val="Calibri"/>
        <b/>
        <color theme="1"/>
        <sz val="12.0"/>
      </rPr>
      <t>Email</t>
    </r>
    <r>
      <rPr>
        <rFont val="Calibri"/>
        <color theme="1"/>
        <sz val="12.0"/>
      </rPr>
      <t xml:space="preserve">: </t>
    </r>
  </si>
  <si>
    <t>Total Pedido</t>
  </si>
  <si>
    <t>ORÇAMENTO Nº</t>
  </si>
  <si>
    <r>
      <rPr>
        <rFont val="Calibri"/>
        <b/>
        <color theme="1"/>
        <sz val="12.0"/>
      </rPr>
      <t>Endereço</t>
    </r>
    <r>
      <rPr>
        <rFont val="Calibri"/>
        <color theme="1"/>
        <sz val="12.0"/>
      </rPr>
      <t xml:space="preserve">: </t>
    </r>
  </si>
  <si>
    <t>Preço Total</t>
  </si>
  <si>
    <t xml:space="preserve">CPF/CNPJ: </t>
  </si>
  <si>
    <t>Cliente</t>
  </si>
  <si>
    <t>Número</t>
  </si>
  <si>
    <t>Nome científico</t>
  </si>
  <si>
    <t>Nome popular</t>
  </si>
  <si>
    <t>Disponibilidade</t>
  </si>
  <si>
    <t>R$/kg</t>
  </si>
  <si>
    <t>Quantidade Miníma comercializada (kg)</t>
  </si>
  <si>
    <t>Pedido (Kg)</t>
  </si>
  <si>
    <t>Deferimentos mínimos</t>
  </si>
  <si>
    <t>Preço (R$)</t>
  </si>
  <si>
    <t>Observação</t>
  </si>
  <si>
    <t>Nome comum</t>
  </si>
  <si>
    <t>N</t>
  </si>
  <si>
    <t>Família</t>
  </si>
  <si>
    <t>Forma de Vida</t>
  </si>
  <si>
    <t>Meses de coleta</t>
  </si>
  <si>
    <t>Açaí</t>
  </si>
  <si>
    <t>Euterpe edulis Mart.</t>
  </si>
  <si>
    <t>Arecaceae</t>
  </si>
  <si>
    <t>Palmeira</t>
  </si>
  <si>
    <t>Açoita Cavalo</t>
  </si>
  <si>
    <t>Luehea divaricata Mart. &amp; Zucc.</t>
  </si>
  <si>
    <t>Malvaceae</t>
  </si>
  <si>
    <t>Árvore</t>
  </si>
  <si>
    <t>agosto/setembro</t>
  </si>
  <si>
    <t>Almécega</t>
  </si>
  <si>
    <t>Protium ovatum Engl.</t>
  </si>
  <si>
    <t>Burseraceae</t>
  </si>
  <si>
    <t>Amargoso</t>
  </si>
  <si>
    <t>Lepidaploa aurea (Mart. ex DC.) H.Rob.</t>
  </si>
  <si>
    <t>Asteraceae</t>
  </si>
  <si>
    <t>Arbusto</t>
  </si>
  <si>
    <t>Amargoso Arbustão/ Asa de Morcego</t>
  </si>
  <si>
    <t>Machaerium sp.</t>
  </si>
  <si>
    <t>Fabaceae</t>
  </si>
  <si>
    <t>Amargoso Árvore</t>
  </si>
  <si>
    <t>Vatairea macrocarpa (Benth.) Ducke</t>
  </si>
  <si>
    <t>novembro-janeiro</t>
  </si>
  <si>
    <t>Amburana</t>
  </si>
  <si>
    <t>Amburana cearensis (Allemão) A.C.Sm.</t>
  </si>
  <si>
    <t>Angelim da Mata</t>
  </si>
  <si>
    <t>Andira fraxinifolia Benth.</t>
  </si>
  <si>
    <t>Angelim do Campo</t>
  </si>
  <si>
    <t>Andira vermifuga (Mart.) Benth.</t>
  </si>
  <si>
    <t>Angico</t>
  </si>
  <si>
    <t>Anadenanthera colubrina (Vell.) Brenan</t>
  </si>
  <si>
    <t>julho-setembro</t>
  </si>
  <si>
    <t>Angico Branco</t>
  </si>
  <si>
    <t>Senegalia polyphylla (DC.) Britton &amp; Rose</t>
  </si>
  <si>
    <t>junho-agosto</t>
  </si>
  <si>
    <t>Aroeira</t>
  </si>
  <si>
    <t>Myracrodruon urundeuva Allemão</t>
  </si>
  <si>
    <t>Anacardiaceae</t>
  </si>
  <si>
    <t>Aroeirinha</t>
  </si>
  <si>
    <t>Lithraea molleoides (Vell.) Engl.</t>
  </si>
  <si>
    <t>Arbusto/Árvore</t>
  </si>
  <si>
    <t>Assa Peixe</t>
  </si>
  <si>
    <t>Vernonanthura polyanthes (Sprengel) Vega &amp; Dematteis</t>
  </si>
  <si>
    <t>Barbatimão</t>
  </si>
  <si>
    <t>Stryphnodendron adstringens (Mart.) Coville</t>
  </si>
  <si>
    <t>Baru</t>
  </si>
  <si>
    <t>Dipteryx alata Vogel.</t>
  </si>
  <si>
    <t>agosto-outubro</t>
  </si>
  <si>
    <t>Bolsa de Pastor</t>
  </si>
  <si>
    <t>Zeyheria montana Mart.</t>
  </si>
  <si>
    <t>Bignoniaceae</t>
  </si>
  <si>
    <t>Buriti</t>
  </si>
  <si>
    <t>Mauritia flexuosa L.f.</t>
  </si>
  <si>
    <t>Buritirana</t>
  </si>
  <si>
    <t>Mauritiella armata (Mart.) Burret</t>
  </si>
  <si>
    <t>Cajá</t>
  </si>
  <si>
    <t>Spondias mombin L.</t>
  </si>
  <si>
    <t>Caju</t>
  </si>
  <si>
    <t>Anacardium occidentale L.</t>
  </si>
  <si>
    <t>Cajuí</t>
  </si>
  <si>
    <t>Anacardium humile A.St.-Hil.</t>
  </si>
  <si>
    <t>Candieiro</t>
  </si>
  <si>
    <t>Eremanthus glomerulatus Less.</t>
  </si>
  <si>
    <t>Candieiro estrada</t>
  </si>
  <si>
    <t>Eremanthus uniflorus MacLeish &amp; H.Schumach.</t>
  </si>
  <si>
    <t>Capim Arroz</t>
  </si>
  <si>
    <t>Lagenocarpus rigidus Nees</t>
  </si>
  <si>
    <t>Cyperaceae</t>
  </si>
  <si>
    <t>Erva</t>
  </si>
  <si>
    <t>Capim Andropogon</t>
  </si>
  <si>
    <t>Andropogon fastigiatus Sw.</t>
  </si>
  <si>
    <t>Poaceae</t>
  </si>
  <si>
    <t>maio-junho</t>
  </si>
  <si>
    <t>Capim Aristida não-triturado</t>
  </si>
  <si>
    <t>Aristida gibbosa (Nees) Kunth</t>
  </si>
  <si>
    <t>Capim Aristida triturado</t>
  </si>
  <si>
    <t>Capim Aristida (total)</t>
  </si>
  <si>
    <t>Capim Brinco de Princesa</t>
  </si>
  <si>
    <t>Loudetiopsis chrysothrix (Nees) Conert</t>
  </si>
  <si>
    <t>Capim Carrapato</t>
  </si>
  <si>
    <t>Aristida longifolia Trin.</t>
  </si>
  <si>
    <t>Capim Carrapato (triturado)</t>
  </si>
  <si>
    <t>fevereiro-junho</t>
  </si>
  <si>
    <t>Capim Colonião</t>
  </si>
  <si>
    <t>Axonopus siccus (Nees) Kuhlm.</t>
  </si>
  <si>
    <t>Capim Estrela</t>
  </si>
  <si>
    <t>Rhynchospora consanguinea (Kunth) Boeckeler</t>
  </si>
  <si>
    <t>Capim Fiapo</t>
  </si>
  <si>
    <t>Trachypogon spicatus (L.f.) Kuntze</t>
  </si>
  <si>
    <t>fevereiro-março</t>
  </si>
  <si>
    <t>Capim Flechinha</t>
  </si>
  <si>
    <t>Echinolaena inflexa (Poir.) Chase</t>
  </si>
  <si>
    <t>julho-agosto</t>
  </si>
  <si>
    <t>Capim Jaraguá Nativo</t>
  </si>
  <si>
    <t>Hyparrhenia bracteata (Humb. &amp; Bonpl. Ex Wild) Stapf</t>
  </si>
  <si>
    <t>Capim Mulungu</t>
  </si>
  <si>
    <t>Andropogon leucostachyus Kunth</t>
  </si>
  <si>
    <t>Capim Orelha de Coelho</t>
  </si>
  <si>
    <t>Paspalum stellatum Humb. &amp; Bonpl. ex Flüggé</t>
  </si>
  <si>
    <t>Capim Pé de Galinha</t>
  </si>
  <si>
    <t>Axonopus aureus P. Beauv.</t>
  </si>
  <si>
    <t>Capim Rabo de Burro</t>
  </si>
  <si>
    <t>Aristida riparia Trin.</t>
  </si>
  <si>
    <t>Capim Roxo</t>
  </si>
  <si>
    <t>Schizachyrium sanguineum (Retz.) Alston</t>
  </si>
  <si>
    <t>Capim Vassoura</t>
  </si>
  <si>
    <t>Andropogon bicornis L.</t>
  </si>
  <si>
    <t>Capim Cabeça</t>
  </si>
  <si>
    <t>Capim Ralinho</t>
  </si>
  <si>
    <t>Combretaceae</t>
  </si>
  <si>
    <t>Capitão da Mata/Maria-preta</t>
  </si>
  <si>
    <t>Terminalia argentea Mart.</t>
  </si>
  <si>
    <t>Capitão do Cerrado/Mussambé</t>
  </si>
  <si>
    <t>Terminalia fagifolia Mart.</t>
  </si>
  <si>
    <t>Metteniusaceae</t>
  </si>
  <si>
    <t>setembro/novembro</t>
  </si>
  <si>
    <t>Carne de Vaca</t>
  </si>
  <si>
    <t>Emmotum nitens (Benth.) Miers</t>
  </si>
  <si>
    <t>Caroba</t>
  </si>
  <si>
    <t>Jacaranda brasiliana (Lam.) Pers.</t>
  </si>
  <si>
    <t>março-junho</t>
  </si>
  <si>
    <t>Carobinha</t>
  </si>
  <si>
    <t>Jacaranda ulei Bureau &amp; K.Schum.</t>
  </si>
  <si>
    <t>Carvoeiro</t>
  </si>
  <si>
    <t>Tachigali vulgaris L.G.Silva &amp; H.C.Lima</t>
  </si>
  <si>
    <t>Casadinha</t>
  </si>
  <si>
    <t>Chromolaena maximiliani (Schrad. ex DC.) R.M.King &amp; H.Rob.</t>
  </si>
  <si>
    <t>Catinga de Porco</t>
  </si>
  <si>
    <t>Cenostigma sp.</t>
  </si>
  <si>
    <t>Chapada</t>
  </si>
  <si>
    <t>Leptolobium dasycarpum Vogel</t>
  </si>
  <si>
    <t>Chichá</t>
  </si>
  <si>
    <t>Sterculia striata A.St.-Hil. &amp; Naudin</t>
  </si>
  <si>
    <t>Eriocaulaceae</t>
  </si>
  <si>
    <t>Chuveirinho</t>
  </si>
  <si>
    <t>Paepalanthus chiquitensis Herzog</t>
  </si>
  <si>
    <t>Cipó Brejaú</t>
  </si>
  <si>
    <t>Indeterminada</t>
  </si>
  <si>
    <t>Apocynaceae</t>
  </si>
  <si>
    <t>Trepadeira</t>
  </si>
  <si>
    <t>Cipó de Leite</t>
  </si>
  <si>
    <t>Cipó Quebrador</t>
  </si>
  <si>
    <t>Fridericia platyphylla (Cham.) L.G.Lohmann</t>
  </si>
  <si>
    <t>Arbusto/Erva</t>
  </si>
  <si>
    <t>Coentro do Cerrado</t>
  </si>
  <si>
    <t>Copaíba</t>
  </si>
  <si>
    <t>Copaifera langsdorffii Desf.</t>
  </si>
  <si>
    <t>Copaíba rasteira</t>
  </si>
  <si>
    <t>Copaifera sp.</t>
  </si>
  <si>
    <t>Boraginaceae</t>
  </si>
  <si>
    <t>Cordia</t>
  </si>
  <si>
    <t>Cordia alliodora (Ruiz &amp; Pav.) Cham.</t>
  </si>
  <si>
    <t>Urticaceae</t>
  </si>
  <si>
    <t>Embaúba</t>
  </si>
  <si>
    <t>Cecropia pachystachya Trécul</t>
  </si>
  <si>
    <t>Favela</t>
  </si>
  <si>
    <t>Dimorphandra mollis Benth.</t>
  </si>
  <si>
    <t>Fedegosão</t>
  </si>
  <si>
    <t>Senna alata (L.) Roxb.</t>
  </si>
  <si>
    <t>Flor do ET</t>
  </si>
  <si>
    <t>Trichogonia prancei G.M.Barroso</t>
  </si>
  <si>
    <t>Gameleira</t>
  </si>
  <si>
    <t>Ficus adhatodifolia Schott in Spreng.</t>
  </si>
  <si>
    <t>Garapa/Pau mulato</t>
  </si>
  <si>
    <t>Gonçalo</t>
  </si>
  <si>
    <t>Astronium fraxinifolium Schott</t>
  </si>
  <si>
    <t>Cannabaceae</t>
  </si>
  <si>
    <t>Grandiúva/Mutamba branca</t>
  </si>
  <si>
    <t>Trema micrantha (L.) Blume</t>
  </si>
  <si>
    <t>agosto-janeiro</t>
  </si>
  <si>
    <t>Guariroba/Gueroba</t>
  </si>
  <si>
    <t>Syagrus oleracea (Mart.) Becc.</t>
  </si>
  <si>
    <t>Gueroba do Cerrado/ Catulé</t>
  </si>
  <si>
    <t>Ipê Amarelo de Mata</t>
  </si>
  <si>
    <t>Handroanthus serratifolius (Vahl) S.Grose</t>
  </si>
  <si>
    <t>Ipê Branco</t>
  </si>
  <si>
    <t>Tabebuia roseoalba (Ridl.) Sandwith</t>
  </si>
  <si>
    <t>Ipê Caraíba</t>
  </si>
  <si>
    <t>Tabebuia aurea (Silva Manso) Benth. &amp; Hook.f. ex S.Moore</t>
  </si>
  <si>
    <t>Ipê Roxo</t>
  </si>
  <si>
    <t>Handroanthus impetiginosus (Mart. ex DC.) Mattos</t>
  </si>
  <si>
    <t>Jacarandá</t>
  </si>
  <si>
    <t>Machaerium opacum Vogel</t>
  </si>
  <si>
    <t>setembro/outubro</t>
  </si>
  <si>
    <t>Jatobá da Mata</t>
  </si>
  <si>
    <t>Hymenaea courbaril L.</t>
  </si>
  <si>
    <t>Jatobá do Cerrado</t>
  </si>
  <si>
    <t>Hymenaea stigonocarpa Mart. ex Hayne</t>
  </si>
  <si>
    <t>Lecythidaceae</t>
  </si>
  <si>
    <t>Jequitibá</t>
  </si>
  <si>
    <t>Cariniana rubra Gardner ex Miers</t>
  </si>
  <si>
    <t>Calophyllaceae</t>
  </si>
  <si>
    <t>Landi</t>
  </si>
  <si>
    <t>Calophyllum brasiliense Cambess.</t>
  </si>
  <si>
    <t>Solanaceae</t>
  </si>
  <si>
    <t>Todo ano</t>
  </si>
  <si>
    <t>Lobeira</t>
  </si>
  <si>
    <t>Solanum lycocarpum A.St.-Hil.</t>
  </si>
  <si>
    <t>Macela</t>
  </si>
  <si>
    <t>Achyrocline satureioides (Lam.) DC.</t>
  </si>
  <si>
    <t>Rutaceae</t>
  </si>
  <si>
    <t>Mamica de Porca</t>
  </si>
  <si>
    <t>Zanthoxylum rhoifolium Lam.</t>
  </si>
  <si>
    <t>Sapindaceae</t>
  </si>
  <si>
    <t>Mamoninha</t>
  </si>
  <si>
    <t>Dilodendron bipinnatum (Sapindaceae)</t>
  </si>
  <si>
    <t>Rubiaceae</t>
  </si>
  <si>
    <t>Marmelada de bezerro</t>
  </si>
  <si>
    <t>Alibertia edulis (Rich.) A.Rich.</t>
  </si>
  <si>
    <t>Annonaceae</t>
  </si>
  <si>
    <t>Margarida</t>
  </si>
  <si>
    <t>Aldama bracteata (Gardner) E.E.Schill. &amp; Panero (conferir sp)</t>
  </si>
  <si>
    <t>Margarida da folha fina</t>
  </si>
  <si>
    <t>Aldama sp.</t>
  </si>
  <si>
    <t>Margarida robusta</t>
  </si>
  <si>
    <t>Aldama sp2.</t>
  </si>
  <si>
    <t>Simaroubaceae</t>
  </si>
  <si>
    <t>Mata Cachorro</t>
  </si>
  <si>
    <t>Simarouba versicolor A.St.-Hil.</t>
  </si>
  <si>
    <t>Lamiaceae</t>
  </si>
  <si>
    <t>Milho de Grilo</t>
  </si>
  <si>
    <t>Aegiphila verticillata Vell.</t>
  </si>
  <si>
    <t>Mimosa</t>
  </si>
  <si>
    <t>Mimosa claussenii Benth.</t>
  </si>
  <si>
    <t>Mimosa Área Úmida</t>
  </si>
  <si>
    <t>Mimosa sp.</t>
  </si>
  <si>
    <t>Mirindiba</t>
  </si>
  <si>
    <t>Terminalia corrugata (Ducke) Gere &amp; Boatwr.</t>
  </si>
  <si>
    <t>Pata de Vaca/ Miroró</t>
  </si>
  <si>
    <t>Bauhinia sp.</t>
  </si>
  <si>
    <t>Pata de Boi/ Mirorosão</t>
  </si>
  <si>
    <t>Mutamba</t>
  </si>
  <si>
    <t>Guazuma ulmifolia Lam.</t>
  </si>
  <si>
    <t>Malpighiaceae</t>
  </si>
  <si>
    <t>Murici</t>
  </si>
  <si>
    <t>Byrsonima sp.</t>
  </si>
  <si>
    <t>Lythraceae</t>
  </si>
  <si>
    <t>Pacari</t>
  </si>
  <si>
    <t>Lafoensia pacari A.St.-Hil.</t>
  </si>
  <si>
    <t>Paineira</t>
  </si>
  <si>
    <t>Eriotheca pubescens (Mart.) Schott &amp; Endl.</t>
  </si>
  <si>
    <t>Palipalan</t>
  </si>
  <si>
    <t>Paepalanthus sp.</t>
  </si>
  <si>
    <t>Vochysiaceae</t>
  </si>
  <si>
    <t>Pau doce</t>
  </si>
  <si>
    <t>Vochysia elliptica Mart.</t>
  </si>
  <si>
    <t>Polygonaceae</t>
  </si>
  <si>
    <t>Pau Jaú</t>
  </si>
  <si>
    <t>Triplaris gardneriana Wedd.</t>
  </si>
  <si>
    <t>Pau pereiro/Guatambu</t>
  </si>
  <si>
    <t>Aspidosperma sp.</t>
  </si>
  <si>
    <t>Pau Santo</t>
  </si>
  <si>
    <t>Kielmeyera coriacea Mart. &amp; Zucc.</t>
  </si>
  <si>
    <t xml:space="preserve">Pau Terra </t>
  </si>
  <si>
    <t>Qualea grandiflora Mart.</t>
  </si>
  <si>
    <t>Pau Terrinha</t>
  </si>
  <si>
    <t>Qualea parviflora Mart.</t>
  </si>
  <si>
    <t>Caryocaraceae</t>
  </si>
  <si>
    <t>Pequi</t>
  </si>
  <si>
    <t>Caryocar brasiliense Cambess.</t>
  </si>
  <si>
    <t>Xyridaceae</t>
  </si>
  <si>
    <t>Pireque</t>
  </si>
  <si>
    <t>Xyris sp.</t>
  </si>
  <si>
    <t>Euphorbiaceae</t>
  </si>
  <si>
    <t>Sangra d'água</t>
  </si>
  <si>
    <t>Croton urucurana Baill.</t>
  </si>
  <si>
    <t>São João</t>
  </si>
  <si>
    <t>Senna sp.</t>
  </si>
  <si>
    <t>todo ano</t>
  </si>
  <si>
    <t>Sucupira Branca</t>
  </si>
  <si>
    <t>Pterodon emarginatus Vogel</t>
  </si>
  <si>
    <t>Sucupira Preta</t>
  </si>
  <si>
    <t>Bowdichia virgilioides Kunth</t>
  </si>
  <si>
    <t>Tamboril da Mata</t>
  </si>
  <si>
    <t>Enterolobium contortisiliquum (Vell.) Morong</t>
  </si>
  <si>
    <t>Tamboril do Cerrado</t>
  </si>
  <si>
    <t>Enterolobium gummiferum (Mart.) J.F.Macbr.</t>
  </si>
  <si>
    <t>Tatarena</t>
  </si>
  <si>
    <t>Tachigali aurea Tul.</t>
  </si>
  <si>
    <t>Tingui</t>
  </si>
  <si>
    <t>Magonia pubescens A.St.-Hil.</t>
  </si>
  <si>
    <t>Melastomataceae</t>
  </si>
  <si>
    <t>Quaresmeira</t>
  </si>
  <si>
    <t>Arbusto, Árvore, Liana/volúvel/trepadeira</t>
  </si>
  <si>
    <t>Vaqueta</t>
  </si>
  <si>
    <t>Combretum duarteanum Cambess.</t>
  </si>
  <si>
    <t>Seca em pé</t>
  </si>
  <si>
    <t>Callisthene sp.</t>
  </si>
  <si>
    <t>Gomeira</t>
  </si>
  <si>
    <t>Pimenta de Macaco</t>
  </si>
  <si>
    <t>Xylopia sp.</t>
  </si>
  <si>
    <t>Dilleniaceae</t>
  </si>
  <si>
    <t>Arbusto|Liana/volúvel/trepadeira|Subarbusto</t>
  </si>
  <si>
    <t>Lixeirinha</t>
  </si>
  <si>
    <t>Davilla elliptica A.St.-Hil.</t>
  </si>
  <si>
    <t>Pixirica</t>
  </si>
  <si>
    <t>Peroba do Campo</t>
  </si>
  <si>
    <t>Aspidosperma macrocarpum</t>
  </si>
  <si>
    <t>Grão de galo</t>
  </si>
  <si>
    <t>Sapotaceae</t>
  </si>
  <si>
    <t>Farinha do Nascente</t>
  </si>
  <si>
    <t>Kalunga</t>
  </si>
  <si>
    <t>Pimenta de macaco</t>
  </si>
  <si>
    <t>Quininha</t>
  </si>
  <si>
    <t>Strychnos pseudoquina A.St.-Hil.</t>
  </si>
  <si>
    <t>Loganiaceae</t>
  </si>
  <si>
    <t>Moeda</t>
  </si>
  <si>
    <t>Chamaecrista orbiculata (Benth.) H.S.Irwin &amp; Barneby</t>
  </si>
  <si>
    <t>Negramina</t>
  </si>
  <si>
    <t xml:space="preserve">Siparuna guianensis Aubl. </t>
  </si>
  <si>
    <t>Siparunaceae</t>
  </si>
  <si>
    <t>Oiti</t>
  </si>
  <si>
    <t>Chrysobalanaceae</t>
  </si>
  <si>
    <t>Espécie</t>
  </si>
  <si>
    <t>Tipo de venda</t>
  </si>
  <si>
    <t>OBS</t>
  </si>
  <si>
    <t>R/O</t>
  </si>
  <si>
    <t>Exclusivo encomenda</t>
  </si>
  <si>
    <t>Numeração comercial</t>
  </si>
  <si>
    <t>Numeração Projetos</t>
  </si>
  <si>
    <t xml:space="preserve">Número </t>
  </si>
  <si>
    <t>Familia</t>
  </si>
  <si>
    <t>Preço coletor 2025 (Ajuste IPCA 4,83%)</t>
  </si>
  <si>
    <t xml:space="preserve">Coletores </t>
  </si>
  <si>
    <t>Taxa Associação 13,82%</t>
  </si>
  <si>
    <t>Valor ACP SEM Imposto</t>
  </si>
  <si>
    <t>Imposto nota (3%)</t>
  </si>
  <si>
    <t>Líquido depois da RSC = Valor nota Associação (VALOR DE CUSTO)</t>
  </si>
  <si>
    <t>Taxa RSC (25%)</t>
  </si>
  <si>
    <t>Base calculo ICMS</t>
  </si>
  <si>
    <t xml:space="preserve">40% Valor da NF </t>
  </si>
  <si>
    <t>Imposto ICMS</t>
  </si>
  <si>
    <t>VALOR TOTAL NF ATUALIZADO 2024 (PREÇO PRO CLIENTE valor/kg)</t>
  </si>
  <si>
    <t>Conferência</t>
  </si>
  <si>
    <t>Associação (12%)</t>
  </si>
  <si>
    <t>Líquido para pagamento entre coletores</t>
  </si>
  <si>
    <t>Imposto nota (5%)</t>
  </si>
  <si>
    <t>Líquido depois da RSC = Valor nota Associação</t>
  </si>
  <si>
    <t>Valor Líquido Doação RSC para ACP</t>
  </si>
  <si>
    <t>Imposto NF (3%)/Doação RSC para ACP (25%)</t>
  </si>
  <si>
    <t>Valor Doação RSC para ACP (25%)</t>
  </si>
  <si>
    <t>RSC (25%)</t>
  </si>
  <si>
    <t>ICMS</t>
  </si>
  <si>
    <t>Pedido</t>
  </si>
  <si>
    <t>Valor por produto</t>
  </si>
  <si>
    <t>Comercial Geral</t>
  </si>
  <si>
    <t>SIM</t>
  </si>
  <si>
    <t>Comercial_01</t>
  </si>
  <si>
    <t>Projetos_01</t>
  </si>
  <si>
    <t xml:space="preserve">Arecaceae </t>
  </si>
  <si>
    <t>outubro-janeiro</t>
  </si>
  <si>
    <t>Açoita cavalo</t>
  </si>
  <si>
    <t>Comercial_02</t>
  </si>
  <si>
    <t>Projetos_02</t>
  </si>
  <si>
    <t>Luehea divaricata Mart.</t>
  </si>
  <si>
    <t>Comercial_03</t>
  </si>
  <si>
    <t>Projetos_03</t>
  </si>
  <si>
    <t>Amargoso árvore/Passarinhão</t>
  </si>
  <si>
    <t>Comercial_04</t>
  </si>
  <si>
    <t>Projetos_04</t>
  </si>
  <si>
    <t>Comercial_05</t>
  </si>
  <si>
    <t>Projetos_05</t>
  </si>
  <si>
    <t>Angelim da mata</t>
  </si>
  <si>
    <t>Comercial_07</t>
  </si>
  <si>
    <t>Projetos_07</t>
  </si>
  <si>
    <t>Angelim do campo/Bravo/Morcego</t>
  </si>
  <si>
    <t>Comercial_06</t>
  </si>
  <si>
    <t>Projetos_06</t>
  </si>
  <si>
    <t>Comercial_08</t>
  </si>
  <si>
    <t>Projetos_08</t>
  </si>
  <si>
    <t>Angico branco/Monjoleiro/Piriquiteira</t>
  </si>
  <si>
    <t>Comercial_09</t>
  </si>
  <si>
    <t>Projetos_09</t>
  </si>
  <si>
    <t>Comercial_10</t>
  </si>
  <si>
    <t>Projetos_10</t>
  </si>
  <si>
    <t>Astronium urundeuva (M.Allemão) Engl.</t>
  </si>
  <si>
    <t>Assa peixe</t>
  </si>
  <si>
    <t>Comercial_12</t>
  </si>
  <si>
    <t>Projetos_12</t>
  </si>
  <si>
    <t>Comercial_13</t>
  </si>
  <si>
    <t>Projetos_13</t>
  </si>
  <si>
    <t>Comercial_14</t>
  </si>
  <si>
    <t>Projetos_14</t>
  </si>
  <si>
    <t xml:space="preserve">Dipteryx alata Vogel </t>
  </si>
  <si>
    <t>Bolsa de pastor</t>
  </si>
  <si>
    <t>Comercial_15</t>
  </si>
  <si>
    <t>Projetos_15</t>
  </si>
  <si>
    <t>Comercial_16</t>
  </si>
  <si>
    <t>Projetos_16</t>
  </si>
  <si>
    <t>SEM INFORMAÇÃO</t>
  </si>
  <si>
    <t>Buritiana</t>
  </si>
  <si>
    <t>Comercial_17</t>
  </si>
  <si>
    <t>Projetos_17</t>
  </si>
  <si>
    <t>Comercial_18</t>
  </si>
  <si>
    <t>Projetos_18</t>
  </si>
  <si>
    <t>janeiro/fevereiro</t>
  </si>
  <si>
    <t>Comercial_19</t>
  </si>
  <si>
    <t>Projetos_19</t>
  </si>
  <si>
    <t>Comercial_20</t>
  </si>
  <si>
    <t>Projetos_20</t>
  </si>
  <si>
    <t>Comercial_21</t>
  </si>
  <si>
    <t>Projetos_21</t>
  </si>
  <si>
    <t>Comercial_22</t>
  </si>
  <si>
    <t>Projetos_22</t>
  </si>
  <si>
    <t>Canela de Ema</t>
  </si>
  <si>
    <t>Espécie nova</t>
  </si>
  <si>
    <t>Projetos_111</t>
  </si>
  <si>
    <t>Vellozia squamata Pohl</t>
  </si>
  <si>
    <t>Canela de ema</t>
  </si>
  <si>
    <t>Velloziaceae</t>
  </si>
  <si>
    <t>Capim andropogon branco</t>
  </si>
  <si>
    <t>Comercial_23</t>
  </si>
  <si>
    <t>Projetos_23</t>
  </si>
  <si>
    <t>Capim andropogon nativo</t>
  </si>
  <si>
    <t>Capim andropogon vermelho</t>
  </si>
  <si>
    <t>25_1</t>
  </si>
  <si>
    <t>Andropogon angustatus (J. Presl) Steud.</t>
  </si>
  <si>
    <t>Capim aristida</t>
  </si>
  <si>
    <t>Comercial_24</t>
  </si>
  <si>
    <t>Projetos_24</t>
  </si>
  <si>
    <t>Capim arroz</t>
  </si>
  <si>
    <t>Projetos_25</t>
  </si>
  <si>
    <t>Capim brinco de princesa</t>
  </si>
  <si>
    <t>Comercial_25</t>
  </si>
  <si>
    <t>Projetos_26</t>
  </si>
  <si>
    <t xml:space="preserve">Loudetiopsis chrysothrix (Nees) Conert </t>
  </si>
  <si>
    <t>Capim carrapato</t>
  </si>
  <si>
    <t>Comercial_26</t>
  </si>
  <si>
    <t>Projetos_27</t>
  </si>
  <si>
    <t>Capim colonião</t>
  </si>
  <si>
    <t>Comercial_27</t>
  </si>
  <si>
    <t>Projetos_28</t>
  </si>
  <si>
    <t>Capim estrela</t>
  </si>
  <si>
    <t>Comercial_28</t>
  </si>
  <si>
    <t>Projetos_29</t>
  </si>
  <si>
    <t>Capim fiapo</t>
  </si>
  <si>
    <t>Comercial_29</t>
  </si>
  <si>
    <t>Projetos_30</t>
  </si>
  <si>
    <t>Capim flechinha</t>
  </si>
  <si>
    <t>Comercial_30</t>
  </si>
  <si>
    <t>Projetos_31</t>
  </si>
  <si>
    <t>Capim jaraguá nativo</t>
  </si>
  <si>
    <t>Comercial_31</t>
  </si>
  <si>
    <t>Projetos_32</t>
  </si>
  <si>
    <t>Hyparrhenia bracteata (Humb. &amp; Bonpl. ex Willd.) Stapf</t>
  </si>
  <si>
    <t>Capim mulungu</t>
  </si>
  <si>
    <t>Comercial_36</t>
  </si>
  <si>
    <t>Projetos_37</t>
  </si>
  <si>
    <t>Capim orelha de coelho</t>
  </si>
  <si>
    <t>Comercial_32</t>
  </si>
  <si>
    <t>Projetos_33</t>
  </si>
  <si>
    <t>Capim pé de galinha</t>
  </si>
  <si>
    <t>Comercial_33</t>
  </si>
  <si>
    <t>Projetos_34</t>
  </si>
  <si>
    <t>Capim rabo de burro</t>
  </si>
  <si>
    <t>Comercial_34</t>
  </si>
  <si>
    <t>Projetos_35</t>
  </si>
  <si>
    <t>Aristida riparia Trin.</t>
  </si>
  <si>
    <t>Capim ralinho</t>
  </si>
  <si>
    <t>Projetos_112</t>
  </si>
  <si>
    <t>Paspalum eucomum Nees ex Trin.</t>
  </si>
  <si>
    <t>Capim roxo</t>
  </si>
  <si>
    <t>Comercial_35</t>
  </si>
  <si>
    <t>Projetos_36</t>
  </si>
  <si>
    <t>Capim vassoura</t>
  </si>
  <si>
    <t>Comercial_37</t>
  </si>
  <si>
    <t>Projetos_38</t>
  </si>
  <si>
    <t>Capitão da mata/Maria preta</t>
  </si>
  <si>
    <t>Comercial_38</t>
  </si>
  <si>
    <t>Projetos_39</t>
  </si>
  <si>
    <t>Terminalia argentea Mart. &amp; Zucc.</t>
  </si>
  <si>
    <t>Capitão do cerrado/Mussambé</t>
  </si>
  <si>
    <t>Comercial_39</t>
  </si>
  <si>
    <t>Projetos_40</t>
  </si>
  <si>
    <t>Carne de vaca/Sôbre</t>
  </si>
  <si>
    <t>Comercial_40</t>
  </si>
  <si>
    <t>Projetos_41</t>
  </si>
  <si>
    <t>Comercial_41</t>
  </si>
  <si>
    <t>Projetos_42</t>
  </si>
  <si>
    <t>Comercial_43</t>
  </si>
  <si>
    <t>Projetos_44</t>
  </si>
  <si>
    <t>Comercial_44</t>
  </si>
  <si>
    <t>Projetos_45</t>
  </si>
  <si>
    <t>Chapada/Unha d'anta</t>
  </si>
  <si>
    <t>Comercial_45</t>
  </si>
  <si>
    <t>Projetos_46</t>
  </si>
  <si>
    <t>Comercial_46</t>
  </si>
  <si>
    <t>Projetos_47</t>
  </si>
  <si>
    <t>Chuveirinho/Sempre viva</t>
  </si>
  <si>
    <t>Comercial_47</t>
  </si>
  <si>
    <t>Projetos_48</t>
  </si>
  <si>
    <t>Copaíba/Pau d'óleo</t>
  </si>
  <si>
    <t>Comercial_48</t>
  </si>
  <si>
    <t>Projetos_50</t>
  </si>
  <si>
    <t>Comercial_49</t>
  </si>
  <si>
    <t>Projetos_51</t>
  </si>
  <si>
    <t>Comercial_50</t>
  </si>
  <si>
    <t>Projetos_52</t>
  </si>
  <si>
    <t>Comercial_51</t>
  </si>
  <si>
    <t>Projetos_53</t>
  </si>
  <si>
    <t>Comercial_52</t>
  </si>
  <si>
    <t>Projetos_54</t>
  </si>
  <si>
    <t>Projetos_104</t>
  </si>
  <si>
    <t>Comercial_53</t>
  </si>
  <si>
    <t>Projetos_55</t>
  </si>
  <si>
    <t>Moraceae</t>
  </si>
  <si>
    <t>Comercial_54</t>
  </si>
  <si>
    <t>Projetos_58</t>
  </si>
  <si>
    <t xml:space="preserve">Anacardiaceae </t>
  </si>
  <si>
    <t>Projetos_108</t>
  </si>
  <si>
    <t>Crandiúva/Mutamba branca</t>
  </si>
  <si>
    <t>Comercial_55</t>
  </si>
  <si>
    <t>Projetos_59</t>
  </si>
  <si>
    <t>Gueroba do Cerrado / Catulé</t>
  </si>
  <si>
    <t>Projetos_116</t>
  </si>
  <si>
    <t>Syagrus comosa (Mart.) Mart.</t>
  </si>
  <si>
    <t>Ipê amarelo da mata</t>
  </si>
  <si>
    <t>Comercial_56</t>
  </si>
  <si>
    <t>Projetos_60</t>
  </si>
  <si>
    <t>Ipê caraíba</t>
  </si>
  <si>
    <t>Comercial_57</t>
  </si>
  <si>
    <t>Projetos_62</t>
  </si>
  <si>
    <t>Ipê roxo</t>
  </si>
  <si>
    <t>Comercial_58</t>
  </si>
  <si>
    <t>Projetos_63</t>
  </si>
  <si>
    <t>Comercial_59</t>
  </si>
  <si>
    <t>Projetos_64</t>
  </si>
  <si>
    <t>Jatobá da mata</t>
  </si>
  <si>
    <t>Comercial_60</t>
  </si>
  <si>
    <t>Projetos_65</t>
  </si>
  <si>
    <t>Jatobá de brinco</t>
  </si>
  <si>
    <t xml:space="preserve">Peltogyne confertiflora (Mart. ex Hayne) Benth. </t>
  </si>
  <si>
    <t>Jatobá do cerrado</t>
  </si>
  <si>
    <t>Comercial_61</t>
  </si>
  <si>
    <t>Projetos_66</t>
  </si>
  <si>
    <t>Comercial_62</t>
  </si>
  <si>
    <t>Projetos_67</t>
  </si>
  <si>
    <t>Comercial_64</t>
  </si>
  <si>
    <t>Projetos_70</t>
  </si>
  <si>
    <t>Comercial_65</t>
  </si>
  <si>
    <t>Projetos_71</t>
  </si>
  <si>
    <t>Macela do Vão</t>
  </si>
  <si>
    <t>73_1</t>
  </si>
  <si>
    <t xml:space="preserve">Hyptis obtecta Benth. </t>
  </si>
  <si>
    <t>Mamica de porca</t>
  </si>
  <si>
    <t>Comercial_66</t>
  </si>
  <si>
    <t>Projetos_72</t>
  </si>
  <si>
    <t>Comercial_67</t>
  </si>
  <si>
    <t>Projetos_73</t>
  </si>
  <si>
    <t>Dilodendron bipinnatum Radlk.</t>
  </si>
  <si>
    <t>Projetos_74</t>
  </si>
  <si>
    <t>Aldama bracteata (Gardner) E.E.Schill. &amp; Panero</t>
  </si>
  <si>
    <t>Marmelada</t>
  </si>
  <si>
    <t>Projetos_75</t>
  </si>
  <si>
    <t>Mata cachorro</t>
  </si>
  <si>
    <t>Comercial_68</t>
  </si>
  <si>
    <t>Projetos_76</t>
  </si>
  <si>
    <t>Milho de grilo</t>
  </si>
  <si>
    <t>Projetos_77</t>
  </si>
  <si>
    <t>Comercial_69</t>
  </si>
  <si>
    <t>Projetos_78</t>
  </si>
  <si>
    <t>Comercial_70</t>
  </si>
  <si>
    <t>Projetos_79</t>
  </si>
  <si>
    <t>Comercial_71</t>
  </si>
  <si>
    <t>Projetos_81</t>
  </si>
  <si>
    <t>Comercial_72</t>
  </si>
  <si>
    <t>Projetos_82</t>
  </si>
  <si>
    <t>Projetos_109</t>
  </si>
  <si>
    <t>Paepalanthus niger (Moldenke) Trovó</t>
  </si>
  <si>
    <t>Pau jacaré</t>
  </si>
  <si>
    <t>Projetos_119</t>
  </si>
  <si>
    <t>Callisthene fasciculata Mart</t>
  </si>
  <si>
    <t>Pau Jacaré</t>
  </si>
  <si>
    <t>Pau jaú/Pau formiga</t>
  </si>
  <si>
    <t>Comercial_73</t>
  </si>
  <si>
    <t>Projetos_87</t>
  </si>
  <si>
    <t>Pau santo</t>
  </si>
  <si>
    <t>Comercial_74</t>
  </si>
  <si>
    <t>Projetos_88</t>
  </si>
  <si>
    <t>Pau terra de folha larga</t>
  </si>
  <si>
    <t>Comercial_75</t>
  </si>
  <si>
    <t>Projetos_89</t>
  </si>
  <si>
    <t>Pau terrinha</t>
  </si>
  <si>
    <t>Comercial_76</t>
  </si>
  <si>
    <t>Projetos_90</t>
  </si>
  <si>
    <t>Comercial_77</t>
  </si>
  <si>
    <t>Projetos_91</t>
  </si>
  <si>
    <t xml:space="preserve">Caryocaraceae </t>
  </si>
  <si>
    <t>Peroba do campo</t>
  </si>
  <si>
    <t>Projetos_120</t>
  </si>
  <si>
    <t xml:space="preserve">Aspidosperma macrocarpon Mart. &amp; Zucc. </t>
  </si>
  <si>
    <t>Aspidosperma</t>
  </si>
  <si>
    <t>Projetos_92</t>
  </si>
  <si>
    <t>Xyris asperula Mart.</t>
  </si>
  <si>
    <t>Comercial_78</t>
  </si>
  <si>
    <t>Projetos_94</t>
  </si>
  <si>
    <t>Sucupira branca</t>
  </si>
  <si>
    <t>Comercial_79</t>
  </si>
  <si>
    <t>Projetos_97</t>
  </si>
  <si>
    <t>Sucupira preta</t>
  </si>
  <si>
    <t>Comercial_80</t>
  </si>
  <si>
    <t>Projetos_98</t>
  </si>
  <si>
    <t>Tamboril da mata</t>
  </si>
  <si>
    <t>Comercial_81</t>
  </si>
  <si>
    <t>Projetos_99</t>
  </si>
  <si>
    <t>Tamboril do cerrado</t>
  </si>
  <si>
    <t>Comercial_82</t>
  </si>
  <si>
    <t>Projetos_100</t>
  </si>
  <si>
    <t>Comercial_83</t>
  </si>
  <si>
    <t>Projetos_101</t>
  </si>
  <si>
    <t>Comercial_84</t>
  </si>
  <si>
    <t>Projetos_102</t>
  </si>
  <si>
    <t xml:space="preserve">Vaqueta </t>
  </si>
  <si>
    <t>Projetos_103</t>
  </si>
  <si>
    <t>Vinhático</t>
  </si>
  <si>
    <t>Projetos_121</t>
  </si>
  <si>
    <t>Plathymenia reticulata Benth.</t>
  </si>
  <si>
    <t>Fabaceae - Mimosoideae</t>
  </si>
  <si>
    <t>Julho a Setembro</t>
  </si>
  <si>
    <t>Almécegas</t>
  </si>
  <si>
    <t>Fora da lista</t>
  </si>
  <si>
    <t>Recalcitrante</t>
  </si>
  <si>
    <t>Protium sp.</t>
  </si>
  <si>
    <t>Araça goiabinha</t>
  </si>
  <si>
    <t>Não tem coleta</t>
  </si>
  <si>
    <t>Psidium sp.</t>
  </si>
  <si>
    <t>Myrtaceae</t>
  </si>
  <si>
    <t>Aroeirinha/Aroeira mole</t>
  </si>
  <si>
    <t>Comercial_11</t>
  </si>
  <si>
    <t>Projetos_11</t>
  </si>
  <si>
    <t>Capim aristida triturado</t>
  </si>
  <si>
    <t>Triturado</t>
  </si>
  <si>
    <t>Comercial_24_1</t>
  </si>
  <si>
    <t>Projetos_24_1</t>
  </si>
  <si>
    <t>26_1</t>
  </si>
  <si>
    <t>Capim carrapato triturado</t>
  </si>
  <si>
    <t>Comercial_26_1</t>
  </si>
  <si>
    <t>Projetos_27_1</t>
  </si>
  <si>
    <t>29_1</t>
  </si>
  <si>
    <t>Comercial_42</t>
  </si>
  <si>
    <t>Projetos_43</t>
  </si>
  <si>
    <t>Cipó brejaú</t>
  </si>
  <si>
    <t>Cipó de leite</t>
  </si>
  <si>
    <t>Projetos_113</t>
  </si>
  <si>
    <t>Asclepias sp.</t>
  </si>
  <si>
    <t>Projetos_114</t>
  </si>
  <si>
    <t>Grão de Galo</t>
  </si>
  <si>
    <t>Ingá</t>
  </si>
  <si>
    <t>Projetos_115</t>
  </si>
  <si>
    <t>Ipê branco</t>
  </si>
  <si>
    <t>Projetos_61</t>
  </si>
  <si>
    <t>Comercial_63</t>
  </si>
  <si>
    <t>Projetos_68</t>
  </si>
  <si>
    <t>Projetos_69</t>
  </si>
  <si>
    <t>Margarida folha fina</t>
  </si>
  <si>
    <t>Projetos_106</t>
  </si>
  <si>
    <t>Projetos_107</t>
  </si>
  <si>
    <t>Mimosa área úmida</t>
  </si>
  <si>
    <t>Projetos_117</t>
  </si>
  <si>
    <t xml:space="preserve">Moeda </t>
  </si>
  <si>
    <t>Murici rasteiro/Muricizinho</t>
  </si>
  <si>
    <t xml:space="preserve">Byrsonima sp. </t>
  </si>
  <si>
    <t>Projetos_105</t>
  </si>
  <si>
    <t>Siparuna guianensis Aubl.</t>
  </si>
  <si>
    <t>Projetos_83</t>
  </si>
  <si>
    <t>Xylopia aromatica (Lam.) Mart.</t>
  </si>
  <si>
    <t>Arbusto|Árvore</t>
  </si>
  <si>
    <t>Projetos_93</t>
  </si>
  <si>
    <t>Amargoso Arbustão</t>
  </si>
  <si>
    <t>Projeto</t>
  </si>
  <si>
    <t>Amargoso arbustão</t>
  </si>
  <si>
    <t>Capim cabeça</t>
  </si>
  <si>
    <t>Capim Miam</t>
  </si>
  <si>
    <t>Projetos_123</t>
  </si>
  <si>
    <t>Catinga de porco</t>
  </si>
  <si>
    <t>Projetos_110</t>
  </si>
  <si>
    <t>Cipó quebrador</t>
  </si>
  <si>
    <t>Projetos_49</t>
  </si>
  <si>
    <t>Projetos_56</t>
  </si>
  <si>
    <t>Projetos_57</t>
  </si>
  <si>
    <t>Vochysia thyrsoidea Pohl</t>
  </si>
  <si>
    <t>Ipê Amarelo</t>
  </si>
  <si>
    <t>Handroanthus sp.</t>
  </si>
  <si>
    <t>Ipê caraíba da mata</t>
  </si>
  <si>
    <t>Ipê caraíba da Mata</t>
  </si>
  <si>
    <t>João Bobo</t>
  </si>
  <si>
    <t>Projetos_122</t>
  </si>
  <si>
    <t>Marmelada de cachorro</t>
  </si>
  <si>
    <t>Projetos_80</t>
  </si>
  <si>
    <t>Pata de boi/Mirorosão</t>
  </si>
  <si>
    <t xml:space="preserve">Bauhinia sp. </t>
  </si>
  <si>
    <t>Pata de vaca/Miroró</t>
  </si>
  <si>
    <t>Projetos_84</t>
  </si>
  <si>
    <t>Projetos_86</t>
  </si>
  <si>
    <t>Pau doce do Vão</t>
  </si>
  <si>
    <t>Projetos_118</t>
  </si>
  <si>
    <t>Pau Doce do Vão</t>
  </si>
  <si>
    <t>Projetos_85</t>
  </si>
  <si>
    <t>Miconia sp.</t>
  </si>
  <si>
    <t>Pleroma sp.</t>
  </si>
  <si>
    <t>Sao João</t>
  </si>
  <si>
    <t>Projetos_95</t>
  </si>
  <si>
    <t>Projetos_96</t>
  </si>
  <si>
    <t>Preço coletor 2024 (Ajuste IPCA 4,7%)</t>
  </si>
  <si>
    <t>Associação 13,82%</t>
  </si>
  <si>
    <t>VALOR TOTAL NF ATUALIZADO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</si>
</sst>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R$ -416]#,##0.00"/>
    <numFmt numFmtId="165" formatCode="_(&quot;R$&quot;* #,##0.00_);_(&quot;R$&quot;* \(#,##0.00\);_(&quot;R$&quot;* &quot;-&quot;??_);_(@_)"/>
    <numFmt numFmtId="166" formatCode="_([$R$ -416]* #,##0.00_);_([$R$ -416]* \(#,##0.00\);_([$R$ -416]* &quot;-&quot;??_);_(@_)"/>
    <numFmt numFmtId="167" formatCode="_-&quot;R$&quot;* #,##0.00_-;\-&quot;R$&quot;* #,##0.00_-;_-&quot;R$&quot;* &quot;-&quot;??_-;_-@"/>
    <numFmt numFmtId="168" formatCode="_-&quot;R$&quot;\ * #,##0.00_-;\-&quot;R$&quot;\ * #,##0.00_-;_-&quot;R$&quot;\ * &quot;-&quot;??_-;_-@"/>
  </numFmts>
  <fonts count="17">
    <font>
      <sz val="10.0"/>
      <color rgb="FF000000"/>
      <name val="Arial"/>
      <scheme val="minor"/>
    </font>
    <font>
      <b/>
      <sz val="12.0"/>
      <color theme="1"/>
      <name val="Calibri"/>
    </font>
    <font/>
    <font>
      <color theme="1"/>
      <name val="Arial"/>
    </font>
    <font>
      <sz val="12.0"/>
      <color theme="1"/>
      <name val="Calibri"/>
    </font>
    <font>
      <u/>
      <sz val="12.0"/>
      <color rgb="FF0000FF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b/>
      <sz val="13.0"/>
      <color theme="1"/>
      <name val="Calibri"/>
    </font>
    <font>
      <b/>
      <color theme="1"/>
      <name val="Arial"/>
    </font>
    <font>
      <sz val="10.0"/>
      <color rgb="FF000000"/>
      <name val="Arial"/>
    </font>
    <font>
      <sz val="9.0"/>
      <color rgb="FF000000"/>
      <name val="Arial"/>
    </font>
    <font>
      <sz val="11.0"/>
      <color theme="1"/>
      <name val="Arial"/>
    </font>
    <font>
      <sz val="10.0"/>
      <color theme="1"/>
      <name val="Arial"/>
    </font>
    <font>
      <sz val="12.0"/>
      <color rgb="FFFF0000"/>
      <name val="Calibri"/>
    </font>
    <font>
      <sz val="12.0"/>
      <color rgb="FF1F1F1F"/>
      <name val="Calibri"/>
    </font>
    <font>
      <sz val="12.0"/>
      <color rgb="FF000000"/>
      <name val="Calibri"/>
    </font>
  </fonts>
  <fills count="24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D9E2F3"/>
        <bgColor rgb="FFD9E2F3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A8D08D"/>
        <bgColor rgb="FFA8D08D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rgb="FF6FA8DC"/>
        <bgColor rgb="FF6FA8DC"/>
      </patternFill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FBE4D5"/>
        <bgColor rgb="FFFBE4D5"/>
      </patternFill>
    </fill>
    <fill>
      <patternFill patternType="solid">
        <fgColor rgb="FFFEE1CC"/>
        <bgColor rgb="FFFEE1CC"/>
      </patternFill>
    </fill>
    <fill>
      <patternFill patternType="solid">
        <fgColor rgb="FFE2EFD9"/>
        <bgColor rgb="FFE2EFD9"/>
      </patternFill>
    </fill>
  </fills>
  <borders count="30">
    <border/>
    <border>
      <left/>
      <top/>
    </border>
    <border>
      <top/>
    </border>
    <border>
      <left/>
    </border>
    <border>
      <left/>
      <right/>
      <top/>
      <bottom/>
    </border>
    <border>
      <left/>
      <top/>
      <bottom/>
    </border>
    <border>
      <top/>
      <bottom/>
    </border>
    <border>
      <left/>
      <right/>
      <top/>
      <bottom style="medium">
        <color rgb="FF000000"/>
      </bottom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/>
      <right/>
      <top style="thin">
        <color rgb="FF000000"/>
      </top>
      <bottom/>
    </border>
    <border>
      <top style="medium">
        <color rgb="FFCCCCCC"/>
      </top>
      <bottom style="medium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3" fontId="4" numFmtId="0" xfId="0" applyFill="1" applyFont="1"/>
    <xf borderId="4" fillId="3" fontId="4" numFmtId="0" xfId="0" applyBorder="1" applyFont="1"/>
    <xf borderId="4" fillId="3" fontId="4" numFmtId="0" xfId="0" applyAlignment="1" applyBorder="1" applyFont="1">
      <alignment vertical="center"/>
    </xf>
    <xf borderId="4" fillId="3" fontId="4" numFmtId="0" xfId="0" applyAlignment="1" applyBorder="1" applyFont="1">
      <alignment horizontal="center" vertical="center"/>
    </xf>
    <xf borderId="5" fillId="3" fontId="1" numFmtId="0" xfId="0" applyAlignment="1" applyBorder="1" applyFont="1">
      <alignment horizontal="center" vertical="top"/>
    </xf>
    <xf borderId="6" fillId="0" fontId="2" numFmtId="0" xfId="0" applyBorder="1" applyFont="1"/>
    <xf borderId="7" fillId="3" fontId="5" numFmtId="0" xfId="0" applyAlignment="1" applyBorder="1" applyFont="1">
      <alignment vertical="center"/>
    </xf>
    <xf borderId="7" fillId="3" fontId="6" numFmtId="0" xfId="0" applyAlignment="1" applyBorder="1" applyFont="1">
      <alignment vertical="center"/>
    </xf>
    <xf borderId="7" fillId="3" fontId="7" numFmtId="0" xfId="0" applyAlignment="1" applyBorder="1" applyFont="1">
      <alignment horizontal="center" vertical="center"/>
    </xf>
    <xf borderId="7" fillId="3" fontId="4" numFmtId="0" xfId="0" applyAlignment="1" applyBorder="1" applyFont="1">
      <alignment horizontal="center"/>
    </xf>
    <xf borderId="4" fillId="3" fontId="1" numFmtId="0" xfId="0" applyAlignment="1" applyBorder="1" applyFont="1">
      <alignment horizontal="left" vertical="center"/>
    </xf>
    <xf borderId="8" fillId="3" fontId="4" numFmtId="0" xfId="0" applyBorder="1" applyFont="1"/>
    <xf borderId="8" fillId="3" fontId="4" numFmtId="0" xfId="0" applyAlignment="1" applyBorder="1" applyFont="1">
      <alignment horizontal="center"/>
    </xf>
    <xf borderId="4" fillId="3" fontId="4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5" fillId="3" fontId="4" numFmtId="0" xfId="0" applyAlignment="1" applyBorder="1" applyFont="1">
      <alignment horizontal="left" vertical="center"/>
    </xf>
    <xf borderId="9" fillId="4" fontId="8" numFmtId="0" xfId="0" applyAlignment="1" applyBorder="1" applyFill="1" applyFont="1">
      <alignment horizontal="center" vertical="center"/>
    </xf>
    <xf borderId="10" fillId="3" fontId="1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5" fillId="3" fontId="4" numFmtId="0" xfId="0" applyAlignment="1" applyBorder="1" applyFont="1">
      <alignment horizontal="left" shrinkToFit="0" vertical="center" wrapText="1"/>
    </xf>
    <xf borderId="9" fillId="4" fontId="8" numFmtId="164" xfId="0" applyAlignment="1" applyBorder="1" applyFont="1" applyNumberFormat="1">
      <alignment horizontal="center" vertical="center"/>
    </xf>
    <xf borderId="12" fillId="3" fontId="1" numFmtId="0" xfId="0" applyAlignment="1" applyBorder="1" applyFont="1">
      <alignment horizontal="center" vertical="top"/>
    </xf>
    <xf borderId="12" fillId="0" fontId="2" numFmtId="0" xfId="0" applyBorder="1" applyFont="1"/>
    <xf borderId="13" fillId="0" fontId="2" numFmtId="0" xfId="0" applyBorder="1" applyFont="1"/>
    <xf borderId="8" fillId="3" fontId="4" numFmtId="0" xfId="0" applyAlignment="1" applyBorder="1" applyFont="1">
      <alignment horizontal="left" vertical="center"/>
    </xf>
    <xf borderId="14" fillId="3" fontId="4" numFmtId="0" xfId="0" applyBorder="1" applyFont="1"/>
    <xf borderId="14" fillId="3" fontId="4" numFmtId="0" xfId="0" applyAlignment="1" applyBorder="1" applyFont="1">
      <alignment horizontal="center"/>
    </xf>
    <xf borderId="8" fillId="3" fontId="1" numFmtId="0" xfId="0" applyAlignment="1" applyBorder="1" applyFont="1">
      <alignment horizontal="center" vertical="top"/>
    </xf>
    <xf borderId="15" fillId="5" fontId="1" numFmtId="0" xfId="0" applyAlignment="1" applyBorder="1" applyFill="1" applyFont="1">
      <alignment horizontal="center" vertical="center"/>
    </xf>
    <xf borderId="9" fillId="6" fontId="1" numFmtId="0" xfId="0" applyAlignment="1" applyBorder="1" applyFill="1" applyFont="1">
      <alignment horizontal="center" vertical="center"/>
    </xf>
    <xf borderId="9" fillId="6" fontId="1" numFmtId="0" xfId="0" applyAlignment="1" applyBorder="1" applyFont="1">
      <alignment horizontal="center" shrinkToFit="0" vertical="center" wrapText="1"/>
    </xf>
    <xf borderId="9" fillId="6" fontId="9" numFmtId="0" xfId="0" applyAlignment="1" applyBorder="1" applyFont="1">
      <alignment horizontal="center" vertical="center"/>
    </xf>
    <xf borderId="0" fillId="7" fontId="10" numFmtId="0" xfId="0" applyAlignment="1" applyFill="1" applyFont="1">
      <alignment horizontal="right" shrinkToFit="0" wrapText="1"/>
    </xf>
    <xf borderId="9" fillId="7" fontId="11" numFmtId="49" xfId="0" applyAlignment="1" applyBorder="1" applyFont="1" applyNumberFormat="1">
      <alignment horizontal="right" shrinkToFit="0" wrapText="1"/>
    </xf>
    <xf borderId="9" fillId="7" fontId="3" numFmtId="0" xfId="0" applyAlignment="1" applyBorder="1" applyFont="1">
      <alignment shrinkToFit="0" wrapText="1"/>
    </xf>
    <xf borderId="9" fillId="7" fontId="3" numFmtId="3" xfId="0" applyAlignment="1" applyBorder="1" applyFont="1" applyNumberFormat="1">
      <alignment shrinkToFit="0" wrapText="1"/>
    </xf>
    <xf borderId="9" fillId="7" fontId="3" numFmtId="165" xfId="0" applyAlignment="1" applyBorder="1" applyFont="1" applyNumberFormat="1">
      <alignment shrinkToFit="0" wrapText="1"/>
    </xf>
    <xf borderId="9" fillId="7" fontId="12" numFmtId="0" xfId="0" applyAlignment="1" applyBorder="1" applyFont="1">
      <alignment shrinkToFit="0" wrapText="1"/>
    </xf>
    <xf borderId="9" fillId="7" fontId="13" numFmtId="0" xfId="0" applyAlignment="1" applyBorder="1" applyFont="1">
      <alignment shrinkToFit="0" wrapText="1"/>
    </xf>
    <xf borderId="9" fillId="7" fontId="3" numFmtId="164" xfId="0" applyAlignment="1" applyBorder="1" applyFont="1" applyNumberFormat="1">
      <alignment shrinkToFit="0" wrapText="1"/>
    </xf>
    <xf borderId="0" fillId="8" fontId="10" numFmtId="0" xfId="0" applyAlignment="1" applyFill="1" applyFont="1">
      <alignment horizontal="right" shrinkToFit="0" wrapText="1"/>
    </xf>
    <xf borderId="9" fillId="8" fontId="3" numFmtId="49" xfId="0" applyAlignment="1" applyBorder="1" applyFont="1" applyNumberFormat="1">
      <alignment shrinkToFit="0" wrapText="1"/>
    </xf>
    <xf borderId="9" fillId="8" fontId="3" numFmtId="0" xfId="0" applyAlignment="1" applyBorder="1" applyFont="1">
      <alignment shrinkToFit="0" wrapText="1"/>
    </xf>
    <xf borderId="9" fillId="8" fontId="3" numFmtId="3" xfId="0" applyAlignment="1" applyBorder="1" applyFont="1" applyNumberFormat="1">
      <alignment shrinkToFit="0" wrapText="1"/>
    </xf>
    <xf borderId="9" fillId="8" fontId="3" numFmtId="165" xfId="0" applyAlignment="1" applyBorder="1" applyFont="1" applyNumberFormat="1">
      <alignment shrinkToFit="0" wrapText="1"/>
    </xf>
    <xf borderId="9" fillId="8" fontId="12" numFmtId="0" xfId="0" applyAlignment="1" applyBorder="1" applyFont="1">
      <alignment shrinkToFit="0" wrapText="1"/>
    </xf>
    <xf borderId="9" fillId="8" fontId="13" numFmtId="0" xfId="0" applyAlignment="1" applyBorder="1" applyFont="1">
      <alignment shrinkToFit="0" wrapText="1"/>
    </xf>
    <xf borderId="9" fillId="8" fontId="3" numFmtId="164" xfId="0" applyAlignment="1" applyBorder="1" applyFont="1" applyNumberFormat="1">
      <alignment shrinkToFit="0" wrapText="1"/>
    </xf>
    <xf borderId="9" fillId="7" fontId="3" numFmtId="49" xfId="0" applyAlignment="1" applyBorder="1" applyFont="1" applyNumberFormat="1">
      <alignment shrinkToFit="0" wrapText="1"/>
    </xf>
    <xf borderId="9" fillId="8" fontId="12" numFmtId="0" xfId="0" applyAlignment="1" applyBorder="1" applyFont="1">
      <alignment readingOrder="0" shrinkToFit="0" wrapText="1"/>
    </xf>
    <xf borderId="0" fillId="8" fontId="3" numFmtId="0" xfId="0" applyFont="1"/>
    <xf borderId="0" fillId="8" fontId="3" numFmtId="49" xfId="0" applyFont="1" applyNumberFormat="1"/>
    <xf borderId="0" fillId="7" fontId="3" numFmtId="0" xfId="0" applyFont="1"/>
    <xf borderId="0" fillId="7" fontId="3" numFmtId="49" xfId="0" applyFont="1" applyNumberFormat="1"/>
    <xf borderId="4" fillId="9" fontId="1" numFmtId="0" xfId="0" applyAlignment="1" applyBorder="1" applyFill="1" applyFont="1">
      <alignment horizontal="center"/>
    </xf>
    <xf borderId="15" fillId="5" fontId="1" numFmtId="0" xfId="0" applyAlignment="1" applyBorder="1" applyFont="1">
      <alignment horizontal="center"/>
    </xf>
    <xf borderId="9" fillId="9" fontId="1" numFmtId="0" xfId="0" applyAlignment="1" applyBorder="1" applyFont="1">
      <alignment horizontal="center"/>
    </xf>
    <xf borderId="15" fillId="7" fontId="1" numFmtId="0" xfId="0" applyAlignment="1" applyBorder="1" applyFont="1">
      <alignment horizontal="center"/>
    </xf>
    <xf borderId="9" fillId="5" fontId="1" numFmtId="0" xfId="0" applyAlignment="1" applyBorder="1" applyFont="1">
      <alignment horizontal="center"/>
    </xf>
    <xf borderId="9" fillId="5" fontId="1" numFmtId="0" xfId="0" applyAlignment="1" applyBorder="1" applyFont="1">
      <alignment horizontal="center" shrinkToFit="0" wrapText="1"/>
    </xf>
    <xf borderId="9" fillId="0" fontId="1" numFmtId="0" xfId="0" applyAlignment="1" applyBorder="1" applyFont="1">
      <alignment horizontal="center" shrinkToFit="0" wrapText="1"/>
    </xf>
    <xf borderId="9" fillId="10" fontId="1" numFmtId="166" xfId="0" applyAlignment="1" applyBorder="1" applyFill="1" applyFont="1" applyNumberFormat="1">
      <alignment horizontal="center" shrinkToFit="0" wrapText="1"/>
    </xf>
    <xf borderId="9" fillId="11" fontId="1" numFmtId="0" xfId="0" applyAlignment="1" applyBorder="1" applyFill="1" applyFont="1">
      <alignment horizontal="center" shrinkToFit="0" wrapText="1"/>
    </xf>
    <xf borderId="9" fillId="4" fontId="1" numFmtId="0" xfId="0" applyAlignment="1" applyBorder="1" applyFont="1">
      <alignment horizontal="center" shrinkToFit="0" wrapText="1"/>
    </xf>
    <xf borderId="9" fillId="12" fontId="1" numFmtId="0" xfId="0" applyAlignment="1" applyBorder="1" applyFill="1" applyFont="1">
      <alignment horizontal="center" shrinkToFit="0" wrapText="1"/>
    </xf>
    <xf borderId="15" fillId="12" fontId="1" numFmtId="0" xfId="0" applyAlignment="1" applyBorder="1" applyFont="1">
      <alignment horizontal="center" shrinkToFit="0" wrapText="1"/>
    </xf>
    <xf borderId="15" fillId="13" fontId="1" numFmtId="0" xfId="0" applyAlignment="1" applyBorder="1" applyFill="1" applyFont="1">
      <alignment horizontal="center" shrinkToFit="0" wrapText="1"/>
    </xf>
    <xf borderId="15" fillId="14" fontId="1" numFmtId="0" xfId="0" applyAlignment="1" applyBorder="1" applyFill="1" applyFont="1">
      <alignment horizontal="center" shrinkToFit="0" wrapText="1"/>
    </xf>
    <xf borderId="9" fillId="15" fontId="1" numFmtId="0" xfId="0" applyAlignment="1" applyBorder="1" applyFill="1" applyFont="1">
      <alignment horizontal="center"/>
    </xf>
    <xf borderId="9" fillId="16" fontId="1" numFmtId="0" xfId="0" applyAlignment="1" applyBorder="1" applyFill="1" applyFont="1">
      <alignment horizontal="center" shrinkToFit="0" wrapText="1"/>
    </xf>
    <xf borderId="9" fillId="17" fontId="1" numFmtId="0" xfId="0" applyAlignment="1" applyBorder="1" applyFill="1" applyFont="1">
      <alignment horizontal="center" shrinkToFit="0" wrapText="1"/>
    </xf>
    <xf borderId="9" fillId="12" fontId="1" numFmtId="0" xfId="0" applyAlignment="1" applyBorder="1" applyFont="1">
      <alignment horizontal="center"/>
    </xf>
    <xf borderId="9" fillId="15" fontId="1" numFmtId="0" xfId="0" applyAlignment="1" applyBorder="1" applyFont="1">
      <alignment horizontal="center" shrinkToFit="0" wrapText="1"/>
    </xf>
    <xf borderId="4" fillId="3" fontId="1" numFmtId="0" xfId="0" applyAlignment="1" applyBorder="1" applyFont="1">
      <alignment horizontal="center" vertical="center"/>
    </xf>
    <xf borderId="15" fillId="9" fontId="4" numFmtId="0" xfId="0" applyAlignment="1" applyBorder="1" applyFont="1">
      <alignment shrinkToFit="0" vertical="bottom" wrapText="1"/>
    </xf>
    <xf borderId="9" fillId="0" fontId="4" numFmtId="0" xfId="0" applyAlignment="1" applyBorder="1" applyFont="1">
      <alignment vertical="bottom"/>
    </xf>
    <xf borderId="15" fillId="9" fontId="3" numFmtId="0" xfId="0" applyAlignment="1" applyBorder="1" applyFont="1">
      <alignment vertical="bottom"/>
    </xf>
    <xf borderId="15" fillId="7" fontId="3" numFmtId="0" xfId="0" applyAlignment="1" applyBorder="1" applyFont="1">
      <alignment vertical="bottom"/>
    </xf>
    <xf borderId="16" fillId="0" fontId="4" numFmtId="0" xfId="0" applyAlignment="1" applyBorder="1" applyFont="1">
      <alignment vertical="bottom"/>
    </xf>
    <xf borderId="16" fillId="0" fontId="4" numFmtId="0" xfId="0" applyAlignment="1" applyBorder="1" applyFont="1">
      <alignment horizontal="center" vertical="bottom"/>
    </xf>
    <xf borderId="16" fillId="0" fontId="4" numFmtId="0" xfId="0" applyAlignment="1" applyBorder="1" applyFont="1">
      <alignment shrinkToFit="0" vertical="bottom" wrapText="1"/>
    </xf>
    <xf borderId="15" fillId="18" fontId="4" numFmtId="166" xfId="0" applyAlignment="1" applyBorder="1" applyFill="1" applyFont="1" applyNumberFormat="1">
      <alignment horizontal="right" vertical="bottom"/>
    </xf>
    <xf borderId="15" fillId="19" fontId="4" numFmtId="167" xfId="0" applyAlignment="1" applyBorder="1" applyFill="1" applyFont="1" applyNumberFormat="1">
      <alignment horizontal="right" vertical="bottom"/>
    </xf>
    <xf borderId="15" fillId="4" fontId="4" numFmtId="167" xfId="0" applyAlignment="1" applyBorder="1" applyFont="1" applyNumberFormat="1">
      <alignment horizontal="right" vertical="bottom"/>
    </xf>
    <xf borderId="15" fillId="12" fontId="4" numFmtId="167" xfId="0" applyAlignment="1" applyBorder="1" applyFont="1" applyNumberFormat="1">
      <alignment horizontal="right" vertical="bottom"/>
    </xf>
    <xf borderId="15" fillId="13" fontId="4" numFmtId="167" xfId="0" applyAlignment="1" applyBorder="1" applyFont="1" applyNumberFormat="1">
      <alignment horizontal="right" vertical="bottom"/>
    </xf>
    <xf borderId="15" fillId="14" fontId="4" numFmtId="167" xfId="0" applyAlignment="1" applyBorder="1" applyFont="1" applyNumberFormat="1">
      <alignment horizontal="right" vertical="bottom"/>
    </xf>
    <xf borderId="15" fillId="20" fontId="4" numFmtId="165" xfId="0" applyAlignment="1" applyBorder="1" applyFill="1" applyFont="1" applyNumberFormat="1">
      <alignment horizontal="right" vertical="bottom"/>
    </xf>
    <xf borderId="16" fillId="0" fontId="3" numFmtId="167" xfId="0" applyAlignment="1" applyBorder="1" applyFont="1" applyNumberFormat="1">
      <alignment vertical="bottom"/>
    </xf>
    <xf borderId="16" fillId="0" fontId="3" numFmtId="0" xfId="0" applyAlignment="1" applyBorder="1" applyFont="1">
      <alignment vertical="bottom"/>
    </xf>
    <xf borderId="0" fillId="0" fontId="1" numFmtId="0" xfId="0" applyAlignment="1" applyFont="1">
      <alignment horizontal="center" vertical="center"/>
    </xf>
    <xf borderId="17" fillId="9" fontId="4" numFmtId="0" xfId="0" applyAlignment="1" applyBorder="1" applyFont="1">
      <alignment vertical="bottom"/>
    </xf>
    <xf borderId="18" fillId="0" fontId="4" numFmtId="0" xfId="0" applyAlignment="1" applyBorder="1" applyFont="1">
      <alignment vertical="bottom"/>
    </xf>
    <xf borderId="17" fillId="9" fontId="3" numFmtId="0" xfId="0" applyAlignment="1" applyBorder="1" applyFont="1">
      <alignment vertical="bottom"/>
    </xf>
    <xf borderId="17" fillId="7" fontId="3" numFmtId="0" xfId="0" applyAlignment="1" applyBorder="1" applyFont="1">
      <alignment vertical="bottom"/>
    </xf>
    <xf borderId="19" fillId="0" fontId="3" numFmtId="0" xfId="0" applyAlignment="1" applyBorder="1" applyFont="1">
      <alignment vertical="bottom"/>
    </xf>
    <xf borderId="19" fillId="0" fontId="4" numFmtId="0" xfId="0" applyAlignment="1" applyBorder="1" applyFont="1">
      <alignment vertical="bottom"/>
    </xf>
    <xf borderId="19" fillId="0" fontId="4" numFmtId="0" xfId="0" applyAlignment="1" applyBorder="1" applyFont="1">
      <alignment horizontal="center" vertical="bottom"/>
    </xf>
    <xf borderId="17" fillId="19" fontId="4" numFmtId="167" xfId="0" applyAlignment="1" applyBorder="1" applyFont="1" applyNumberFormat="1">
      <alignment horizontal="right" vertical="bottom"/>
    </xf>
    <xf borderId="17" fillId="4" fontId="4" numFmtId="167" xfId="0" applyAlignment="1" applyBorder="1" applyFont="1" applyNumberFormat="1">
      <alignment horizontal="right" vertical="bottom"/>
    </xf>
    <xf borderId="17" fillId="12" fontId="4" numFmtId="167" xfId="0" applyAlignment="1" applyBorder="1" applyFont="1" applyNumberFormat="1">
      <alignment horizontal="right" vertical="bottom"/>
    </xf>
    <xf borderId="17" fillId="13" fontId="4" numFmtId="167" xfId="0" applyAlignment="1" applyBorder="1" applyFont="1" applyNumberFormat="1">
      <alignment horizontal="right" vertical="bottom"/>
    </xf>
    <xf borderId="17" fillId="14" fontId="4" numFmtId="167" xfId="0" applyAlignment="1" applyBorder="1" applyFont="1" applyNumberFormat="1">
      <alignment horizontal="right" vertical="bottom"/>
    </xf>
    <xf borderId="17" fillId="19" fontId="3" numFmtId="167" xfId="0" applyAlignment="1" applyBorder="1" applyFont="1" applyNumberFormat="1">
      <alignment vertical="bottom"/>
    </xf>
    <xf borderId="17" fillId="20" fontId="4" numFmtId="165" xfId="0" applyAlignment="1" applyBorder="1" applyFont="1" applyNumberFormat="1">
      <alignment horizontal="right" vertical="bottom"/>
    </xf>
    <xf borderId="19" fillId="0" fontId="4" numFmtId="167" xfId="0" applyAlignment="1" applyBorder="1" applyFont="1" applyNumberFormat="1">
      <alignment horizontal="right" vertical="bottom"/>
    </xf>
    <xf borderId="19" fillId="0" fontId="4" numFmtId="0" xfId="0" applyAlignment="1" applyBorder="1" applyFont="1">
      <alignment shrinkToFit="0" vertical="bottom" wrapText="1"/>
    </xf>
    <xf borderId="19" fillId="19" fontId="4" numFmtId="167" xfId="0" applyAlignment="1" applyBorder="1" applyFont="1" applyNumberFormat="1">
      <alignment horizontal="right" vertical="bottom"/>
    </xf>
    <xf borderId="19" fillId="7" fontId="3" numFmtId="0" xfId="0" applyAlignment="1" applyBorder="1" applyFont="1">
      <alignment vertical="bottom"/>
    </xf>
    <xf borderId="4" fillId="3" fontId="4" numFmtId="168" xfId="0" applyBorder="1" applyFont="1" applyNumberFormat="1"/>
    <xf borderId="17" fillId="7" fontId="4" numFmtId="0" xfId="0" applyAlignment="1" applyBorder="1" applyFont="1">
      <alignment vertical="bottom"/>
    </xf>
    <xf borderId="19" fillId="21" fontId="14" numFmtId="0" xfId="0" applyAlignment="1" applyBorder="1" applyFill="1" applyFont="1">
      <alignment vertical="bottom"/>
    </xf>
    <xf borderId="17" fillId="12" fontId="4" numFmtId="166" xfId="0" applyAlignment="1" applyBorder="1" applyFont="1" applyNumberFormat="1">
      <alignment horizontal="right" vertical="bottom"/>
    </xf>
    <xf borderId="17" fillId="9" fontId="4" numFmtId="0" xfId="0" applyAlignment="1" applyBorder="1" applyFont="1">
      <alignment horizontal="center" vertical="bottom"/>
    </xf>
    <xf borderId="19" fillId="7" fontId="4" numFmtId="0" xfId="0" applyAlignment="1" applyBorder="1" applyFont="1">
      <alignment vertical="bottom"/>
    </xf>
    <xf borderId="17" fillId="21" fontId="14" numFmtId="0" xfId="0" applyAlignment="1" applyBorder="1" applyFont="1">
      <alignment vertical="bottom"/>
    </xf>
    <xf borderId="17" fillId="9" fontId="4" numFmtId="0" xfId="0" applyAlignment="1" applyBorder="1" applyFont="1">
      <alignment shrinkToFit="0" vertical="bottom" wrapText="1"/>
    </xf>
    <xf borderId="17" fillId="22" fontId="14" numFmtId="0" xfId="0" applyAlignment="1" applyBorder="1" applyFill="1" applyFont="1">
      <alignment vertical="bottom"/>
    </xf>
    <xf borderId="19" fillId="22" fontId="14" numFmtId="0" xfId="0" applyAlignment="1" applyBorder="1" applyFont="1">
      <alignment vertical="bottom"/>
    </xf>
    <xf borderId="20" fillId="0" fontId="4" numFmtId="0" xfId="0" applyAlignment="1" applyBorder="1" applyFont="1">
      <alignment vertical="bottom"/>
    </xf>
    <xf borderId="19" fillId="0" fontId="15" numFmtId="0" xfId="0" applyAlignment="1" applyBorder="1" applyFont="1">
      <alignment vertical="bottom"/>
    </xf>
    <xf borderId="9" fillId="12" fontId="4" numFmtId="167" xfId="0" applyAlignment="1" applyBorder="1" applyFont="1" applyNumberFormat="1">
      <alignment horizontal="right" vertical="bottom"/>
    </xf>
    <xf borderId="18" fillId="12" fontId="4" numFmtId="0" xfId="0" applyAlignment="1" applyBorder="1" applyFont="1">
      <alignment vertical="bottom"/>
    </xf>
    <xf borderId="21" fillId="12" fontId="4" numFmtId="0" xfId="0" applyAlignment="1" applyBorder="1" applyFont="1">
      <alignment vertical="bottom"/>
    </xf>
    <xf borderId="9" fillId="18" fontId="4" numFmtId="166" xfId="0" applyAlignment="1" applyBorder="1" applyFont="1" applyNumberFormat="1">
      <alignment horizontal="right" vertical="bottom"/>
    </xf>
    <xf borderId="9" fillId="19" fontId="4" numFmtId="167" xfId="0" applyAlignment="1" applyBorder="1" applyFont="1" applyNumberFormat="1">
      <alignment horizontal="right" vertical="bottom"/>
    </xf>
    <xf borderId="9" fillId="4" fontId="4" numFmtId="167" xfId="0" applyAlignment="1" applyBorder="1" applyFont="1" applyNumberFormat="1">
      <alignment horizontal="right" vertical="bottom"/>
    </xf>
    <xf borderId="9" fillId="13" fontId="4" numFmtId="167" xfId="0" applyAlignment="1" applyBorder="1" applyFont="1" applyNumberFormat="1">
      <alignment horizontal="right" vertical="bottom"/>
    </xf>
    <xf borderId="9" fillId="14" fontId="4" numFmtId="167" xfId="0" applyAlignment="1" applyBorder="1" applyFont="1" applyNumberFormat="1">
      <alignment horizontal="right" vertical="bottom"/>
    </xf>
    <xf borderId="9" fillId="19" fontId="3" numFmtId="167" xfId="0" applyAlignment="1" applyBorder="1" applyFont="1" applyNumberFormat="1">
      <alignment vertical="bottom"/>
    </xf>
    <xf borderId="9" fillId="20" fontId="4" numFmtId="165" xfId="0" applyAlignment="1" applyBorder="1" applyFont="1" applyNumberFormat="1">
      <alignment horizontal="right" vertical="bottom"/>
    </xf>
    <xf borderId="17" fillId="7" fontId="4" numFmtId="0" xfId="0" applyAlignment="1" applyBorder="1" applyFont="1">
      <alignment shrinkToFit="0" vertical="bottom" wrapText="1"/>
    </xf>
    <xf borderId="18" fillId="23" fontId="4" numFmtId="0" xfId="0" applyAlignment="1" applyBorder="1" applyFill="1" applyFont="1">
      <alignment vertical="bottom"/>
    </xf>
    <xf borderId="15" fillId="18" fontId="4" numFmtId="166" xfId="0" applyAlignment="1" applyBorder="1" applyFont="1" applyNumberFormat="1">
      <alignment horizontal="center" vertical="bottom"/>
    </xf>
    <xf borderId="22" fillId="9" fontId="4" numFmtId="0" xfId="0" applyAlignment="1" applyBorder="1" applyFont="1">
      <alignment vertical="bottom"/>
    </xf>
    <xf borderId="21" fillId="7" fontId="3" numFmtId="0" xfId="0" applyAlignment="1" applyBorder="1" applyFont="1">
      <alignment vertical="bottom"/>
    </xf>
    <xf borderId="18" fillId="7" fontId="3" numFmtId="0" xfId="0" applyAlignment="1" applyBorder="1" applyFont="1">
      <alignment vertical="bottom"/>
    </xf>
    <xf borderId="18" fillId="0" fontId="4" numFmtId="0" xfId="0" applyAlignment="1" applyBorder="1" applyFont="1">
      <alignment horizontal="center" vertical="bottom"/>
    </xf>
    <xf borderId="18" fillId="22" fontId="14" numFmtId="0" xfId="0" applyAlignment="1" applyBorder="1" applyFont="1">
      <alignment vertical="bottom"/>
    </xf>
    <xf borderId="9" fillId="9" fontId="4" numFmtId="0" xfId="0" applyAlignment="1" applyBorder="1" applyFont="1">
      <alignment vertical="bottom"/>
    </xf>
    <xf borderId="9" fillId="7" fontId="3" numFmtId="0" xfId="0" applyAlignment="1" applyBorder="1" applyFont="1">
      <alignment vertical="bottom"/>
    </xf>
    <xf borderId="21" fillId="23" fontId="4" numFmtId="0" xfId="0" applyAlignment="1" applyBorder="1" applyFont="1">
      <alignment vertical="bottom"/>
    </xf>
    <xf borderId="9" fillId="22" fontId="14" numFmtId="0" xfId="0" applyAlignment="1" applyBorder="1" applyFont="1">
      <alignment vertical="bottom"/>
    </xf>
    <xf borderId="22" fillId="19" fontId="4" numFmtId="167" xfId="0" applyAlignment="1" applyBorder="1" applyFont="1" applyNumberFormat="1">
      <alignment horizontal="right" vertical="bottom"/>
    </xf>
    <xf borderId="22" fillId="4" fontId="4" numFmtId="167" xfId="0" applyAlignment="1" applyBorder="1" applyFont="1" applyNumberFormat="1">
      <alignment horizontal="right" vertical="bottom"/>
    </xf>
    <xf borderId="22" fillId="12" fontId="4" numFmtId="167" xfId="0" applyAlignment="1" applyBorder="1" applyFont="1" applyNumberFormat="1">
      <alignment horizontal="right" vertical="bottom"/>
    </xf>
    <xf borderId="22" fillId="13" fontId="4" numFmtId="167" xfId="0" applyAlignment="1" applyBorder="1" applyFont="1" applyNumberFormat="1">
      <alignment horizontal="right" vertical="bottom"/>
    </xf>
    <xf borderId="22" fillId="14" fontId="4" numFmtId="167" xfId="0" applyAlignment="1" applyBorder="1" applyFont="1" applyNumberFormat="1">
      <alignment horizontal="right" vertical="bottom"/>
    </xf>
    <xf borderId="22" fillId="19" fontId="3" numFmtId="167" xfId="0" applyAlignment="1" applyBorder="1" applyFont="1" applyNumberFormat="1">
      <alignment vertical="bottom"/>
    </xf>
    <xf borderId="22" fillId="20" fontId="4" numFmtId="165" xfId="0" applyAlignment="1" applyBorder="1" applyFont="1" applyNumberFormat="1">
      <alignment horizontal="right" vertical="bottom"/>
    </xf>
    <xf borderId="9" fillId="9" fontId="4" numFmtId="0" xfId="0" applyAlignment="1" applyBorder="1" applyFont="1">
      <alignment shrinkToFit="0" vertical="bottom" wrapText="1"/>
    </xf>
    <xf borderId="23" fillId="7" fontId="3" numFmtId="0" xfId="0" applyAlignment="1" applyBorder="1" applyFont="1">
      <alignment vertical="bottom"/>
    </xf>
    <xf borderId="24" fillId="0" fontId="3" numFmtId="0" xfId="0" applyAlignment="1" applyBorder="1" applyFont="1">
      <alignment vertical="bottom"/>
    </xf>
    <xf borderId="25" fillId="0" fontId="4" numFmtId="0" xfId="0" applyAlignment="1" applyBorder="1" applyFont="1">
      <alignment horizontal="center" vertical="bottom"/>
    </xf>
    <xf borderId="25" fillId="22" fontId="14" numFmtId="0" xfId="0" applyAlignment="1" applyBorder="1" applyFont="1">
      <alignment vertical="bottom"/>
    </xf>
    <xf borderId="9" fillId="0" fontId="4" numFmtId="0" xfId="0" applyAlignment="1" applyBorder="1" applyFont="1">
      <alignment shrinkToFit="0" vertical="bottom" wrapText="1"/>
    </xf>
    <xf borderId="9" fillId="21" fontId="14" numFmtId="0" xfId="0" applyAlignment="1" applyBorder="1" applyFont="1">
      <alignment vertical="bottom"/>
    </xf>
    <xf borderId="26" fillId="18" fontId="4" numFmtId="166" xfId="0" applyAlignment="1" applyBorder="1" applyFont="1" applyNumberFormat="1">
      <alignment horizontal="right" vertical="bottom"/>
    </xf>
    <xf borderId="9" fillId="0" fontId="4" numFmtId="0" xfId="0" applyAlignment="1" applyBorder="1" applyFont="1">
      <alignment horizontal="center" vertical="bottom"/>
    </xf>
    <xf borderId="0" fillId="22" fontId="14" numFmtId="0" xfId="0" applyAlignment="1" applyFont="1">
      <alignment vertical="bottom"/>
    </xf>
    <xf borderId="27" fillId="0" fontId="4" numFmtId="0" xfId="0" applyAlignment="1" applyBorder="1" applyFont="1">
      <alignment vertical="bottom"/>
    </xf>
    <xf borderId="28" fillId="21" fontId="14" numFmtId="0" xfId="0" applyAlignment="1" applyBorder="1" applyFont="1">
      <alignment vertical="bottom"/>
    </xf>
    <xf borderId="28" fillId="22" fontId="14" numFmtId="0" xfId="0" applyAlignment="1" applyBorder="1" applyFont="1">
      <alignment vertical="bottom"/>
    </xf>
    <xf borderId="9" fillId="0" fontId="4" numFmtId="167" xfId="0" applyAlignment="1" applyBorder="1" applyFont="1" applyNumberFormat="1">
      <alignment horizontal="right" vertical="bottom"/>
    </xf>
    <xf borderId="9" fillId="0" fontId="3" numFmtId="0" xfId="0" applyAlignment="1" applyBorder="1" applyFont="1">
      <alignment vertical="bottom"/>
    </xf>
    <xf borderId="9" fillId="18" fontId="4" numFmtId="166" xfId="0" applyAlignment="1" applyBorder="1" applyFont="1" applyNumberFormat="1">
      <alignment horizontal="center" vertical="bottom"/>
    </xf>
    <xf borderId="20" fillId="21" fontId="14" numFmtId="0" xfId="0" applyAlignment="1" applyBorder="1" applyFont="1">
      <alignment vertical="bottom"/>
    </xf>
    <xf borderId="21" fillId="9" fontId="4" numFmtId="0" xfId="0" applyAlignment="1" applyBorder="1" applyFont="1">
      <alignment horizontal="center" vertical="bottom"/>
    </xf>
    <xf borderId="18" fillId="21" fontId="14" numFmtId="0" xfId="0" applyAlignment="1" applyBorder="1" applyFont="1">
      <alignment vertical="bottom"/>
    </xf>
    <xf borderId="18" fillId="0" fontId="3" numFmtId="0" xfId="0" applyAlignment="1" applyBorder="1" applyFont="1">
      <alignment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left"/>
    </xf>
    <xf borderId="0" fillId="0" fontId="16" numFmtId="0" xfId="0" applyFont="1"/>
    <xf borderId="0" fillId="0" fontId="4" numFmtId="0" xfId="0" applyAlignment="1" applyFont="1">
      <alignment horizontal="center"/>
    </xf>
    <xf borderId="0" fillId="0" fontId="4" numFmtId="165" xfId="0" applyAlignment="1" applyFont="1" applyNumberFormat="1">
      <alignment horizontal="center"/>
    </xf>
    <xf borderId="9" fillId="5" fontId="1" numFmtId="0" xfId="0" applyAlignment="1" applyBorder="1" applyFont="1">
      <alignment horizontal="center" vertical="center"/>
    </xf>
    <xf borderId="9" fillId="5" fontId="1" numFmtId="0" xfId="0" applyAlignment="1" applyBorder="1" applyFont="1">
      <alignment horizontal="center" shrinkToFit="0" vertical="center" wrapText="1"/>
    </xf>
    <xf borderId="16" fillId="5" fontId="1" numFmtId="0" xfId="0" applyAlignment="1" applyBorder="1" applyFont="1">
      <alignment horizontal="center" shrinkToFit="0" vertical="center" wrapText="1"/>
    </xf>
    <xf borderId="9" fillId="10" fontId="1" numFmtId="1" xfId="0" applyAlignment="1" applyBorder="1" applyFont="1" applyNumberFormat="1">
      <alignment horizontal="center" shrinkToFit="0" vertical="center" wrapText="1"/>
    </xf>
    <xf borderId="9" fillId="11" fontId="1" numFmtId="0" xfId="0" applyAlignment="1" applyBorder="1" applyFont="1">
      <alignment horizontal="center" shrinkToFit="0" vertical="center" wrapText="1"/>
    </xf>
    <xf borderId="9" fillId="4" fontId="1" numFmtId="0" xfId="0" applyAlignment="1" applyBorder="1" applyFont="1">
      <alignment horizontal="center" shrinkToFit="0" vertical="center" wrapText="1"/>
    </xf>
    <xf borderId="9" fillId="12" fontId="1" numFmtId="0" xfId="0" applyAlignment="1" applyBorder="1" applyFont="1">
      <alignment horizontal="center" shrinkToFit="0" vertical="center" wrapText="1"/>
    </xf>
    <xf borderId="15" fillId="12" fontId="1" numFmtId="0" xfId="0" applyAlignment="1" applyBorder="1" applyFont="1">
      <alignment horizontal="center" shrinkToFit="0" vertical="center" wrapText="1"/>
    </xf>
    <xf borderId="15" fillId="14" fontId="1" numFmtId="0" xfId="0" applyAlignment="1" applyBorder="1" applyFont="1">
      <alignment horizontal="center" shrinkToFit="0" vertical="center" wrapText="1"/>
    </xf>
    <xf borderId="9" fillId="15" fontId="1" numFmtId="0" xfId="0" applyAlignment="1" applyBorder="1" applyFont="1">
      <alignment horizontal="center" vertical="center"/>
    </xf>
    <xf borderId="9" fillId="16" fontId="1" numFmtId="0" xfId="0" applyAlignment="1" applyBorder="1" applyFont="1">
      <alignment horizontal="center" shrinkToFit="0" vertical="center" wrapText="1"/>
    </xf>
    <xf borderId="9" fillId="17" fontId="1" numFmtId="0" xfId="0" applyAlignment="1" applyBorder="1" applyFont="1">
      <alignment horizontal="center" shrinkToFit="0" vertical="center" wrapText="1"/>
    </xf>
    <xf borderId="9" fillId="12" fontId="1" numFmtId="0" xfId="0" applyAlignment="1" applyBorder="1" applyFont="1">
      <alignment horizontal="center" vertical="center"/>
    </xf>
    <xf borderId="9" fillId="15" fontId="1" numFmtId="0" xfId="0" applyAlignment="1" applyBorder="1" applyFont="1">
      <alignment horizontal="center" shrinkToFit="0" vertical="center" wrapText="1"/>
    </xf>
    <xf borderId="0" fillId="3" fontId="1" numFmtId="0" xfId="0" applyAlignment="1" applyFont="1">
      <alignment horizontal="center" vertical="center"/>
    </xf>
    <xf borderId="16" fillId="0" fontId="4" numFmtId="3" xfId="0" applyAlignment="1" applyBorder="1" applyFont="1" applyNumberFormat="1">
      <alignment horizontal="right" vertical="bottom"/>
    </xf>
    <xf borderId="16" fillId="0" fontId="4" numFmtId="166" xfId="0" applyAlignment="1" applyBorder="1" applyFont="1" applyNumberFormat="1">
      <alignment horizontal="right" vertical="bottom"/>
    </xf>
    <xf borderId="19" fillId="0" fontId="4" numFmtId="3" xfId="0" applyAlignment="1" applyBorder="1" applyFont="1" applyNumberFormat="1">
      <alignment horizontal="right" vertical="bottom"/>
    </xf>
    <xf borderId="19" fillId="0" fontId="4" numFmtId="166" xfId="0" applyAlignment="1" applyBorder="1" applyFont="1" applyNumberFormat="1">
      <alignment horizontal="right" vertical="bottom"/>
    </xf>
    <xf borderId="19" fillId="0" fontId="4" numFmtId="166" xfId="0" applyAlignment="1" applyBorder="1" applyFont="1" applyNumberFormat="1">
      <alignment horizontal="center" vertical="bottom"/>
    </xf>
    <xf borderId="29" fillId="0" fontId="4" numFmtId="166" xfId="0" applyAlignment="1" applyBorder="1" applyFont="1" applyNumberFormat="1">
      <alignment horizontal="right" vertical="bottom"/>
    </xf>
    <xf borderId="20" fillId="0" fontId="4" numFmtId="166" xfId="0" applyAlignment="1" applyBorder="1" applyFont="1" applyNumberFormat="1">
      <alignment horizontal="right" vertical="bottom"/>
    </xf>
    <xf borderId="20" fillId="0" fontId="4" numFmtId="166" xfId="0" applyAlignment="1" applyBorder="1" applyFont="1" applyNumberFormat="1">
      <alignment horizontal="center" vertical="bottom"/>
    </xf>
    <xf borderId="18" fillId="0" fontId="4" numFmtId="166" xfId="0" applyAlignment="1" applyBorder="1" applyFont="1" applyNumberFormat="1">
      <alignment horizontal="right" vertical="bottom"/>
    </xf>
  </cellXfs>
  <cellStyles count="1">
    <cellStyle xfId="0" name="Normal" builtinId="0"/>
  </cellStyles>
  <dxfs count="2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4</xdr:row>
      <xdr:rowOff>76200</xdr:rowOff>
    </xdr:from>
    <xdr:ext cx="4305300" cy="165735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rsc.org.br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2.63" defaultRowHeight="15.0"/>
  <cols>
    <col customWidth="1" hidden="1" min="1" max="1" width="16.0"/>
    <col customWidth="1" min="2" max="2" width="12.38"/>
    <col customWidth="1" min="3" max="4" width="44.63"/>
    <col customWidth="1" min="5" max="6" width="16.13"/>
    <col customWidth="1" min="7" max="7" width="19.13"/>
    <col customWidth="1" min="8" max="8" width="13.88"/>
    <col customWidth="1" min="9" max="9" width="23.0"/>
    <col customWidth="1" min="10" max="10" width="18.5"/>
    <col customWidth="1" min="11" max="11" width="25.0"/>
  </cols>
  <sheetData>
    <row r="1" ht="15.7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33.75" customHeight="1">
      <c r="B2" s="3"/>
    </row>
    <row r="3" ht="15.75" hidden="1" customHeight="1">
      <c r="K3" s="4"/>
    </row>
    <row r="4" ht="41.25" hidden="1" customHeight="1">
      <c r="K4" s="4"/>
    </row>
    <row r="5" ht="60.75" customHeight="1">
      <c r="A5" s="5"/>
      <c r="B5" s="6"/>
      <c r="C5" s="6"/>
      <c r="D5" s="7" t="s">
        <v>1</v>
      </c>
      <c r="E5" s="7"/>
      <c r="F5" s="8"/>
      <c r="G5" s="9" t="s">
        <v>2</v>
      </c>
      <c r="H5" s="10"/>
      <c r="I5" s="10"/>
      <c r="J5" s="6"/>
      <c r="K5" s="4"/>
    </row>
    <row r="6" ht="26.25" customHeight="1">
      <c r="A6" s="5"/>
      <c r="B6" s="6"/>
      <c r="C6" s="6"/>
      <c r="D6" s="11" t="s">
        <v>3</v>
      </c>
      <c r="E6" s="12"/>
      <c r="F6" s="13"/>
      <c r="G6" s="13"/>
      <c r="H6" s="13"/>
      <c r="I6" s="14"/>
      <c r="J6" s="6"/>
      <c r="K6" s="4"/>
    </row>
    <row r="7" ht="24.0" customHeight="1">
      <c r="A7" s="5"/>
      <c r="B7" s="6"/>
      <c r="C7" s="6"/>
      <c r="D7" s="15" t="s">
        <v>4</v>
      </c>
      <c r="E7" s="16"/>
      <c r="F7" s="17"/>
      <c r="G7" s="18"/>
      <c r="H7" s="18"/>
      <c r="I7" s="19"/>
      <c r="J7" s="6"/>
      <c r="K7" s="4"/>
    </row>
    <row r="8" ht="24.0" customHeight="1">
      <c r="A8" s="5"/>
      <c r="B8" s="6"/>
      <c r="C8" s="6"/>
      <c r="D8" s="20" t="s">
        <v>5</v>
      </c>
      <c r="E8" s="21" t="s">
        <v>6</v>
      </c>
      <c r="F8" s="21">
        <f>SUMIF(I12:I1160,"ATENDE QTD. MÍNIMA",H12:H1160)</f>
        <v>0</v>
      </c>
      <c r="G8" s="22" t="s">
        <v>7</v>
      </c>
      <c r="H8" s="23"/>
      <c r="I8" s="24"/>
      <c r="J8" s="6"/>
      <c r="K8" s="4"/>
    </row>
    <row r="9" ht="15.75" customHeight="1">
      <c r="A9" s="5"/>
      <c r="B9" s="6"/>
      <c r="C9" s="6"/>
      <c r="D9" s="25" t="s">
        <v>8</v>
      </c>
      <c r="E9" s="21" t="s">
        <v>9</v>
      </c>
      <c r="F9" s="26">
        <f>SUM(J12:J152)</f>
        <v>0</v>
      </c>
      <c r="G9" s="27">
        <v>2022000.0</v>
      </c>
      <c r="H9" s="28"/>
      <c r="I9" s="29"/>
      <c r="J9" s="6"/>
      <c r="K9" s="4"/>
    </row>
    <row r="10" ht="24.0" customHeight="1">
      <c r="A10" s="5"/>
      <c r="B10" s="16"/>
      <c r="C10" s="16"/>
      <c r="D10" s="30" t="s">
        <v>10</v>
      </c>
      <c r="E10" s="31"/>
      <c r="F10" s="32"/>
      <c r="G10" s="33"/>
      <c r="H10" s="33"/>
      <c r="I10" s="33"/>
      <c r="J10" s="16"/>
      <c r="K10" s="4"/>
    </row>
    <row r="11" ht="66.0" customHeight="1">
      <c r="A11" s="34" t="s">
        <v>11</v>
      </c>
      <c r="B11" s="35" t="s">
        <v>12</v>
      </c>
      <c r="C11" s="36" t="s">
        <v>13</v>
      </c>
      <c r="D11" s="36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5" t="s">
        <v>21</v>
      </c>
    </row>
    <row r="12" ht="15.75" customHeight="1">
      <c r="A12" s="38" t="str">
        <f t="array" ref="A12">XLOOKUP(D12,'ORÇAMENTO'!$H$2:$H$997,'ORÇAMENTO'!$A$2:$A$997)</f>
        <v>Comercial Geral</v>
      </c>
      <c r="B12" s="39">
        <f>IFERROR(__xludf.DUMMYFUNCTION("QUERY({'ORÇAMENTO'!F2:H100})"),1.0)</f>
        <v>1</v>
      </c>
      <c r="C12" s="40" t="str">
        <f>IFERROR(__xludf.DUMMYFUNCTION("""COMPUTED_VALUE"""),"Euterpe edulis Mart.")</f>
        <v>Euterpe edulis Mart.</v>
      </c>
      <c r="D12" s="40" t="str">
        <f>IFERROR(__xludf.DUMMYFUNCTION("""COMPUTED_VALUE"""),"Açaí")</f>
        <v>Açaí</v>
      </c>
      <c r="E12" s="41">
        <f>IF(ISTEXT(D12),(1*'ORÇAMENTO'!M2),)</f>
        <v>0</v>
      </c>
      <c r="F12" s="42">
        <f>IF(ISTEXT(D12),(1*'ORÇAMENTO'!X2),)</f>
        <v>92.3021356</v>
      </c>
      <c r="G12" s="40">
        <f>IF(ISTEXT(D12),(1*'ORÇAMENTO'!L2),)</f>
        <v>5</v>
      </c>
      <c r="H12" s="43"/>
      <c r="I12" s="44" t="str">
        <f t="shared" ref="I12:I152" si="1">IF(H12&gt;0,IF(H12&gt;=G12,"ATENDE QTD. MÍNIMA","NÃO ATENDE QTD. MÍNIMA"),"")</f>
        <v/>
      </c>
      <c r="J12" s="45" t="str">
        <f t="shared" ref="J12:J152" si="2">IF(I12="ATENDE QTD. MÍNIMA",(IF(ISNUMBER(H12),(H12*F12),"")),"")</f>
        <v/>
      </c>
      <c r="K12" s="40"/>
    </row>
    <row r="13" ht="15.75" customHeight="1">
      <c r="A13" s="46" t="str">
        <f t="array" ref="A13">XLOOKUP(D13,'ORÇAMENTO'!$H$2:$H$997,'ORÇAMENTO'!$A$2:$A$997)</f>
        <v>Comercial Geral</v>
      </c>
      <c r="B13" s="47">
        <f>IFERROR(__xludf.DUMMYFUNCTION("""COMPUTED_VALUE"""),2.0)</f>
        <v>2</v>
      </c>
      <c r="C13" s="48" t="str">
        <f>IFERROR(__xludf.DUMMYFUNCTION("""COMPUTED_VALUE"""),"Luehea divaricata Mart.")</f>
        <v>Luehea divaricata Mart.</v>
      </c>
      <c r="D13" s="48" t="str">
        <f>IFERROR(__xludf.DUMMYFUNCTION("""COMPUTED_VALUE"""),"Açoita cavalo")</f>
        <v>Açoita cavalo</v>
      </c>
      <c r="E13" s="49">
        <f>IF(ISTEXT(D13),(1*'ORÇAMENTO'!M3),)</f>
        <v>0</v>
      </c>
      <c r="F13" s="50">
        <f>IF(ISTEXT(D13),(1*'ORÇAMENTO'!X3),)</f>
        <v>223.37427</v>
      </c>
      <c r="G13" s="48">
        <f>IF(ISTEXT(D13),(1*'ORÇAMENTO'!L3),)</f>
        <v>0.5</v>
      </c>
      <c r="H13" s="51"/>
      <c r="I13" s="52" t="str">
        <f t="shared" si="1"/>
        <v/>
      </c>
      <c r="J13" s="53" t="str">
        <f t="shared" si="2"/>
        <v/>
      </c>
      <c r="K13" s="48"/>
    </row>
    <row r="14" ht="15.75" customHeight="1">
      <c r="A14" s="38" t="str">
        <f t="array" ref="A14">XLOOKUP(D14,'ORÇAMENTO'!$H$2:$H$997,'ORÇAMENTO'!$A$2:$A$997)</f>
        <v>Comercial Geral</v>
      </c>
      <c r="B14" s="54">
        <f>IFERROR(__xludf.DUMMYFUNCTION("""COMPUTED_VALUE"""),4.0)</f>
        <v>4</v>
      </c>
      <c r="C14" s="40" t="str">
        <f>IFERROR(__xludf.DUMMYFUNCTION("""COMPUTED_VALUE"""),"Lepidaploa aurea (Mart. ex DC.) H.Rob.")</f>
        <v>Lepidaploa aurea (Mart. ex DC.) H.Rob.</v>
      </c>
      <c r="D14" s="40" t="str">
        <f>IFERROR(__xludf.DUMMYFUNCTION("""COMPUTED_VALUE"""),"Amargoso")</f>
        <v>Amargoso</v>
      </c>
      <c r="E14" s="41">
        <f>IF(ISTEXT(D14),(1*'ORÇAMENTO'!M4),)</f>
        <v>0</v>
      </c>
      <c r="F14" s="42">
        <f>IF(ISTEXT(D14),(1*'ORÇAMENTO'!X4),)</f>
        <v>111.673668</v>
      </c>
      <c r="G14" s="40">
        <f>IF(ISTEXT(D14),(1*'ORÇAMENTO'!L4),)</f>
        <v>5</v>
      </c>
      <c r="H14" s="43"/>
      <c r="I14" s="44" t="str">
        <f t="shared" si="1"/>
        <v/>
      </c>
      <c r="J14" s="45" t="str">
        <f t="shared" si="2"/>
        <v/>
      </c>
      <c r="K14" s="40"/>
    </row>
    <row r="15" ht="15.75" customHeight="1">
      <c r="A15" s="46" t="str">
        <f t="array" ref="A15">XLOOKUP(D15,'ORÇAMENTO'!$H$2:$H$997,'ORÇAMENTO'!$A$2:$A$997)</f>
        <v>Comercial Geral</v>
      </c>
      <c r="B15" s="47">
        <f>IFERROR(__xludf.DUMMYFUNCTION("""COMPUTED_VALUE"""),5.0)</f>
        <v>5</v>
      </c>
      <c r="C15" s="48" t="str">
        <f>IFERROR(__xludf.DUMMYFUNCTION("""COMPUTED_VALUE"""),"Vatairea macrocarpa (Benth.) Ducke")</f>
        <v>Vatairea macrocarpa (Benth.) Ducke</v>
      </c>
      <c r="D15" s="48" t="str">
        <f>IFERROR(__xludf.DUMMYFUNCTION("""COMPUTED_VALUE"""),"Amargoso árvore/Passarinhão")</f>
        <v>Amargoso árvore/Passarinhão</v>
      </c>
      <c r="E15" s="49">
        <f>IF(ISTEXT(D15),(1*'ORÇAMENTO'!M5),)</f>
        <v>0</v>
      </c>
      <c r="F15" s="50">
        <f>IF(ISTEXT(D15),(1*'ORÇAMENTO'!X5),)</f>
        <v>33.533736</v>
      </c>
      <c r="G15" s="48">
        <f>IF(ISTEXT(D15),(1*'ORÇAMENTO'!L5),)</f>
        <v>2</v>
      </c>
      <c r="H15" s="51"/>
      <c r="I15" s="52" t="str">
        <f t="shared" si="1"/>
        <v/>
      </c>
      <c r="J15" s="53" t="str">
        <f t="shared" si="2"/>
        <v/>
      </c>
      <c r="K15" s="48"/>
    </row>
    <row r="16" ht="15.75" customHeight="1">
      <c r="A16" s="38" t="str">
        <f t="array" ref="A16">XLOOKUP(D16,'ORÇAMENTO'!$H$2:$H$997,'ORÇAMENTO'!$A$2:$A$997)</f>
        <v>Comercial Geral</v>
      </c>
      <c r="B16" s="54">
        <f>IFERROR(__xludf.DUMMYFUNCTION("""COMPUTED_VALUE"""),6.0)</f>
        <v>6</v>
      </c>
      <c r="C16" s="40" t="str">
        <f>IFERROR(__xludf.DUMMYFUNCTION("""COMPUTED_VALUE"""),"Amburana cearensis (Allemão) A.C.Sm.")</f>
        <v>Amburana cearensis (Allemão) A.C.Sm.</v>
      </c>
      <c r="D16" s="40" t="str">
        <f>IFERROR(__xludf.DUMMYFUNCTION("""COMPUTED_VALUE"""),"Amburana")</f>
        <v>Amburana</v>
      </c>
      <c r="E16" s="41">
        <f>IF(ISTEXT(D16),(1*'ORÇAMENTO'!M6),)</f>
        <v>0</v>
      </c>
      <c r="F16" s="42">
        <f>IF(ISTEXT(D16),(1*'ORÇAMENTO'!X6),)</f>
        <v>223.37427</v>
      </c>
      <c r="G16" s="40">
        <f>IF(ISTEXT(D16),(1*'ORÇAMENTO'!L6),)</f>
        <v>1</v>
      </c>
      <c r="H16" s="43"/>
      <c r="I16" s="44" t="str">
        <f t="shared" si="1"/>
        <v/>
      </c>
      <c r="J16" s="45" t="str">
        <f t="shared" si="2"/>
        <v/>
      </c>
      <c r="K16" s="40"/>
    </row>
    <row r="17" ht="15.75" customHeight="1">
      <c r="A17" s="46" t="str">
        <f t="array" ref="A17">XLOOKUP(D17,'ORÇAMENTO'!$H$2:$H$997,'ORÇAMENTO'!$A$2:$A$997)</f>
        <v>Comercial Geral</v>
      </c>
      <c r="B17" s="47">
        <f>IFERROR(__xludf.DUMMYFUNCTION("""COMPUTED_VALUE"""),8.0)</f>
        <v>8</v>
      </c>
      <c r="C17" s="48" t="str">
        <f>IFERROR(__xludf.DUMMYFUNCTION("""COMPUTED_VALUE"""),"Andira fraxinifolia Benth.")</f>
        <v>Andira fraxinifolia Benth.</v>
      </c>
      <c r="D17" s="48" t="str">
        <f>IFERROR(__xludf.DUMMYFUNCTION("""COMPUTED_VALUE"""),"Angelim da mata")</f>
        <v>Angelim da mata</v>
      </c>
      <c r="E17" s="49">
        <f>IF(ISTEXT(D17),(1*'ORÇAMENTO'!M7),)</f>
        <v>0</v>
      </c>
      <c r="F17" s="50">
        <f>IF(ISTEXT(D17),(1*'ORÇAMENTO'!X7),)</f>
        <v>33.48101</v>
      </c>
      <c r="G17" s="48">
        <f>IF(ISTEXT(D17),(1*'ORÇAMENTO'!L7),)</f>
        <v>5</v>
      </c>
      <c r="H17" s="51"/>
      <c r="I17" s="52" t="str">
        <f t="shared" si="1"/>
        <v/>
      </c>
      <c r="J17" s="53" t="str">
        <f t="shared" si="2"/>
        <v/>
      </c>
      <c r="K17" s="48"/>
    </row>
    <row r="18" ht="15.75" customHeight="1">
      <c r="A18" s="38" t="str">
        <f t="array" ref="A18">XLOOKUP(D18,'ORÇAMENTO'!$H$2:$H$997,'ORÇAMENTO'!$A$2:$A$997)</f>
        <v>Comercial Geral</v>
      </c>
      <c r="B18" s="54">
        <f>IFERROR(__xludf.DUMMYFUNCTION("""COMPUTED_VALUE"""),7.0)</f>
        <v>7</v>
      </c>
      <c r="C18" s="40" t="str">
        <f>IFERROR(__xludf.DUMMYFUNCTION("""COMPUTED_VALUE"""),"Andira vermifuga (Mart.) Benth.")</f>
        <v>Andira vermifuga (Mart.) Benth.</v>
      </c>
      <c r="D18" s="40" t="str">
        <f>IFERROR(__xludf.DUMMYFUNCTION("""COMPUTED_VALUE"""),"Angelim do campo/Bravo/Morcego")</f>
        <v>Angelim do campo/Bravo/Morcego</v>
      </c>
      <c r="E18" s="41">
        <f>IF(ISTEXT(D18),(1*'ORÇAMENTO'!M8),)</f>
        <v>0</v>
      </c>
      <c r="F18" s="42">
        <f>IF(ISTEXT(D18),(1*'ORÇAMENTO'!X8),)</f>
        <v>22.355824</v>
      </c>
      <c r="G18" s="40">
        <f>IF(ISTEXT(D18),(1*'ORÇAMENTO'!L8),)</f>
        <v>5</v>
      </c>
      <c r="H18" s="43"/>
      <c r="I18" s="44" t="str">
        <f t="shared" si="1"/>
        <v/>
      </c>
      <c r="J18" s="45" t="str">
        <f t="shared" si="2"/>
        <v/>
      </c>
      <c r="K18" s="40"/>
    </row>
    <row r="19" ht="15.75" customHeight="1">
      <c r="A19" s="46" t="str">
        <f t="array" ref="A19">XLOOKUP(D19,'ORÇAMENTO'!$H$2:$H$997,'ORÇAMENTO'!$A$2:$A$997)</f>
        <v>Comercial Geral</v>
      </c>
      <c r="B19" s="47">
        <f>IFERROR(__xludf.DUMMYFUNCTION("""COMPUTED_VALUE"""),9.0)</f>
        <v>9</v>
      </c>
      <c r="C19" s="48" t="str">
        <f>IFERROR(__xludf.DUMMYFUNCTION("""COMPUTED_VALUE"""),"Anadenanthera colubrina (Vell.) Brenan")</f>
        <v>Anadenanthera colubrina (Vell.) Brenan</v>
      </c>
      <c r="D19" s="48" t="str">
        <f>IFERROR(__xludf.DUMMYFUNCTION("""COMPUTED_VALUE"""),"Angico")</f>
        <v>Angico</v>
      </c>
      <c r="E19" s="49">
        <f>IF(ISTEXT(D19),(1*'ORÇAMENTO'!M9),)</f>
        <v>0</v>
      </c>
      <c r="F19" s="50">
        <f>IF(ISTEXT(D19),(1*'ORÇAMENTO'!X9),)</f>
        <v>223.37427</v>
      </c>
      <c r="G19" s="48">
        <f>IF(ISTEXT(D19),(1*'ORÇAMENTO'!L9),)</f>
        <v>0.1</v>
      </c>
      <c r="H19" s="51"/>
      <c r="I19" s="52" t="str">
        <f t="shared" si="1"/>
        <v/>
      </c>
      <c r="J19" s="53" t="str">
        <f t="shared" si="2"/>
        <v/>
      </c>
      <c r="K19" s="48"/>
    </row>
    <row r="20" ht="15.75" customHeight="1">
      <c r="A20" s="38" t="str">
        <f t="array" ref="A20">XLOOKUP(D20,'ORÇAMENTO'!$H$2:$H$997,'ORÇAMENTO'!$A$2:$A$997)</f>
        <v>Comercial Geral</v>
      </c>
      <c r="B20" s="54">
        <f>IFERROR(__xludf.DUMMYFUNCTION("""COMPUTED_VALUE"""),10.0)</f>
        <v>10</v>
      </c>
      <c r="C20" s="40" t="str">
        <f>IFERROR(__xludf.DUMMYFUNCTION("""COMPUTED_VALUE"""),"Senegalia polyphylla (DC.) Britton &amp; Rose")</f>
        <v>Senegalia polyphylla (DC.) Britton &amp; Rose</v>
      </c>
      <c r="D20" s="40" t="str">
        <f>IFERROR(__xludf.DUMMYFUNCTION("""COMPUTED_VALUE"""),"Angico branco/Monjoleiro/Piriquiteira")</f>
        <v>Angico branco/Monjoleiro/Piriquiteira</v>
      </c>
      <c r="E20" s="41">
        <f>IF(ISTEXT(D20),(1*'ORÇAMENTO'!M10),)</f>
        <v>0</v>
      </c>
      <c r="F20" s="42">
        <f>IF(ISTEXT(D20),(1*'ORÇAMENTO'!X10),)</f>
        <v>223.37427</v>
      </c>
      <c r="G20" s="40">
        <f>IF(ISTEXT(D20),(1*'ORÇAMENTO'!L10),)</f>
        <v>0.1</v>
      </c>
      <c r="H20" s="43"/>
      <c r="I20" s="44" t="str">
        <f t="shared" si="1"/>
        <v/>
      </c>
      <c r="J20" s="45" t="str">
        <f t="shared" si="2"/>
        <v/>
      </c>
      <c r="K20" s="40"/>
    </row>
    <row r="21" ht="15.75" customHeight="1">
      <c r="A21" s="46" t="str">
        <f t="array" ref="A21">XLOOKUP(D21,'ORÇAMENTO'!$H$2:$H$997,'ORÇAMENTO'!$A$2:$A$997)</f>
        <v>Comercial Geral</v>
      </c>
      <c r="B21" s="47">
        <f>IFERROR(__xludf.DUMMYFUNCTION("""COMPUTED_VALUE"""),12.0)</f>
        <v>12</v>
      </c>
      <c r="C21" s="48" t="str">
        <f>IFERROR(__xludf.DUMMYFUNCTION("""COMPUTED_VALUE"""),"Astronium urundeuva (M.Allemão) Engl.")</f>
        <v>Astronium urundeuva (M.Allemão) Engl.</v>
      </c>
      <c r="D21" s="48" t="str">
        <f>IFERROR(__xludf.DUMMYFUNCTION("""COMPUTED_VALUE"""),"Aroeira")</f>
        <v>Aroeira</v>
      </c>
      <c r="E21" s="49">
        <f>IF(ISTEXT(D21),(1*'ORÇAMENTO'!M11),)</f>
        <v>0</v>
      </c>
      <c r="F21" s="50">
        <f>IF(ISTEXT(D21),(1*'ORÇAMENTO'!X11),)</f>
        <v>92.30341734</v>
      </c>
      <c r="G21" s="48">
        <f>IF(ISTEXT(D21),(1*'ORÇAMENTO'!L11),)</f>
        <v>0.2</v>
      </c>
      <c r="H21" s="51"/>
      <c r="I21" s="52" t="str">
        <f t="shared" si="1"/>
        <v/>
      </c>
      <c r="J21" s="53" t="str">
        <f t="shared" si="2"/>
        <v/>
      </c>
      <c r="K21" s="48"/>
    </row>
    <row r="22" ht="15.75" customHeight="1">
      <c r="A22" s="38" t="str">
        <f t="array" ref="A22">XLOOKUP(D22,'ORÇAMENTO'!$H$2:$H$997,'ORÇAMENTO'!$A$2:$A$997)</f>
        <v>Comercial Geral</v>
      </c>
      <c r="B22" s="54">
        <f>IFERROR(__xludf.DUMMYFUNCTION("""COMPUTED_VALUE"""),14.0)</f>
        <v>14</v>
      </c>
      <c r="C22" s="40" t="str">
        <f>IFERROR(__xludf.DUMMYFUNCTION("""COMPUTED_VALUE"""),"Vernonanthura polyanthes (Sprengel) Vega &amp; Dematteis")</f>
        <v>Vernonanthura polyanthes (Sprengel) Vega &amp; Dematteis</v>
      </c>
      <c r="D22" s="40" t="str">
        <f>IFERROR(__xludf.DUMMYFUNCTION("""COMPUTED_VALUE"""),"Assa peixe")</f>
        <v>Assa peixe</v>
      </c>
      <c r="E22" s="41">
        <f>IF(ISTEXT(D22),(1*'ORÇAMENTO'!M12),)</f>
        <v>0</v>
      </c>
      <c r="F22" s="42">
        <f>IF(ISTEXT(D22),(1*'ORÇAMENTO'!X12),)</f>
        <v>111.673668</v>
      </c>
      <c r="G22" s="40">
        <f>IF(ISTEXT(D22),(1*'ORÇAMENTO'!L12),)</f>
        <v>1</v>
      </c>
      <c r="H22" s="43"/>
      <c r="I22" s="44" t="str">
        <f t="shared" si="1"/>
        <v/>
      </c>
      <c r="J22" s="45" t="str">
        <f t="shared" si="2"/>
        <v/>
      </c>
      <c r="K22" s="40"/>
    </row>
    <row r="23" ht="15.75" customHeight="1">
      <c r="A23" s="46" t="str">
        <f t="array" ref="A23">XLOOKUP(D23,'ORÇAMENTO'!$H$2:$H$997,'ORÇAMENTO'!$A$2:$A$997)</f>
        <v>Comercial Geral</v>
      </c>
      <c r="B23" s="47">
        <f>IFERROR(__xludf.DUMMYFUNCTION("""COMPUTED_VALUE"""),15.0)</f>
        <v>15</v>
      </c>
      <c r="C23" s="48" t="str">
        <f>IFERROR(__xludf.DUMMYFUNCTION("""COMPUTED_VALUE"""),"Stryphnodendron adstringens (Mart.) Coville")</f>
        <v>Stryphnodendron adstringens (Mart.) Coville</v>
      </c>
      <c r="D23" s="48" t="str">
        <f>IFERROR(__xludf.DUMMYFUNCTION("""COMPUTED_VALUE"""),"Barbatimão")</f>
        <v>Barbatimão</v>
      </c>
      <c r="E23" s="49">
        <f>IF(ISTEXT(D23),(1*'ORÇAMENTO'!M13),)</f>
        <v>0</v>
      </c>
      <c r="F23" s="50">
        <f>IF(ISTEXT(D23),(1*'ORÇAMENTO'!X13),)</f>
        <v>335.0631848</v>
      </c>
      <c r="G23" s="48">
        <f>IF(ISTEXT(D23),(1*'ORÇAMENTO'!L13),)</f>
        <v>0.2</v>
      </c>
      <c r="H23" s="51"/>
      <c r="I23" s="52" t="str">
        <f t="shared" si="1"/>
        <v/>
      </c>
      <c r="J23" s="53" t="str">
        <f t="shared" si="2"/>
        <v/>
      </c>
      <c r="K23" s="48"/>
    </row>
    <row r="24" ht="15.75" customHeight="1">
      <c r="A24" s="38" t="str">
        <f t="array" ref="A24">XLOOKUP(D24,'ORÇAMENTO'!$H$2:$H$997,'ORÇAMENTO'!$A$2:$A$997)</f>
        <v>Comercial Geral</v>
      </c>
      <c r="B24" s="54">
        <f>IFERROR(__xludf.DUMMYFUNCTION("""COMPUTED_VALUE"""),16.0)</f>
        <v>16</v>
      </c>
      <c r="C24" s="40" t="str">
        <f>IFERROR(__xludf.DUMMYFUNCTION("""COMPUTED_VALUE"""),"Dipteryx alata Vogel ")</f>
        <v>Dipteryx alata Vogel </v>
      </c>
      <c r="D24" s="40" t="str">
        <f>IFERROR(__xludf.DUMMYFUNCTION("""COMPUTED_VALUE"""),"Baru")</f>
        <v>Baru</v>
      </c>
      <c r="E24" s="41">
        <f>IF(ISTEXT(D24),(1*'ORÇAMENTO'!M14),)</f>
        <v>0</v>
      </c>
      <c r="F24" s="42">
        <f>IF(ISTEXT(D24),(1*'ORÇAMENTO'!X14),)</f>
        <v>11.1673668</v>
      </c>
      <c r="G24" s="40">
        <f>IF(ISTEXT(D24),(1*'ORÇAMENTO'!L14),)</f>
        <v>5</v>
      </c>
      <c r="H24" s="43"/>
      <c r="I24" s="44" t="str">
        <f t="shared" si="1"/>
        <v/>
      </c>
      <c r="J24" s="45" t="str">
        <f t="shared" si="2"/>
        <v/>
      </c>
      <c r="K24" s="40"/>
    </row>
    <row r="25" ht="15.75" customHeight="1">
      <c r="A25" s="46" t="str">
        <f t="array" ref="A25">XLOOKUP(D25,'ORÇAMENTO'!$H$2:$H$997,'ORÇAMENTO'!$A$2:$A$997)</f>
        <v>Comercial Geral</v>
      </c>
      <c r="B25" s="47">
        <f>IFERROR(__xludf.DUMMYFUNCTION("""COMPUTED_VALUE"""),17.0)</f>
        <v>17</v>
      </c>
      <c r="C25" s="48" t="str">
        <f>IFERROR(__xludf.DUMMYFUNCTION("""COMPUTED_VALUE"""),"Zeyheria montana Mart.")</f>
        <v>Zeyheria montana Mart.</v>
      </c>
      <c r="D25" s="48" t="str">
        <f>IFERROR(__xludf.DUMMYFUNCTION("""COMPUTED_VALUE"""),"Bolsa de pastor")</f>
        <v>Bolsa de pastor</v>
      </c>
      <c r="E25" s="49">
        <f>IF(ISTEXT(D25),(1*'ORÇAMENTO'!M15),)</f>
        <v>0</v>
      </c>
      <c r="F25" s="50">
        <f>IF(ISTEXT(D25),(1*'ORÇAMENTO'!X15),)</f>
        <v>335.0631848</v>
      </c>
      <c r="G25" s="48">
        <f>IF(ISTEXT(D25),(1*'ORÇAMENTO'!L15),)</f>
        <v>0.5</v>
      </c>
      <c r="H25" s="51"/>
      <c r="I25" s="52" t="str">
        <f t="shared" si="1"/>
        <v/>
      </c>
      <c r="J25" s="53" t="str">
        <f t="shared" si="2"/>
        <v/>
      </c>
      <c r="K25" s="48"/>
    </row>
    <row r="26" ht="15.75" customHeight="1">
      <c r="A26" s="38" t="str">
        <f t="array" ref="A26">XLOOKUP(D26,'ORÇAMENTO'!$H$2:$H$997,'ORÇAMENTO'!$A$2:$A$997)</f>
        <v>Comercial Geral</v>
      </c>
      <c r="B26" s="54">
        <f>IFERROR(__xludf.DUMMYFUNCTION("""COMPUTED_VALUE"""),18.0)</f>
        <v>18</v>
      </c>
      <c r="C26" s="40" t="str">
        <f>IFERROR(__xludf.DUMMYFUNCTION("""COMPUTED_VALUE"""),"Mauritia flexuosa L.f.")</f>
        <v>Mauritia flexuosa L.f.</v>
      </c>
      <c r="D26" s="40" t="str">
        <f>IFERROR(__xludf.DUMMYFUNCTION("""COMPUTED_VALUE"""),"Buriti")</f>
        <v>Buriti</v>
      </c>
      <c r="E26" s="41">
        <f>IF(ISTEXT(D26),(1*'ORÇAMENTO'!M16),)</f>
        <v>0</v>
      </c>
      <c r="F26" s="42">
        <f>IF(ISTEXT(D26),(1*'ORÇAMENTO'!X16),)</f>
        <v>18.46068347</v>
      </c>
      <c r="G26" s="40">
        <f>IF(ISTEXT(D26),(1*'ORÇAMENTO'!L16),)</f>
        <v>1</v>
      </c>
      <c r="H26" s="43"/>
      <c r="I26" s="44" t="str">
        <f t="shared" si="1"/>
        <v/>
      </c>
      <c r="J26" s="45" t="str">
        <f t="shared" si="2"/>
        <v/>
      </c>
      <c r="K26" s="40"/>
    </row>
    <row r="27" ht="15.75" customHeight="1">
      <c r="A27" s="46" t="str">
        <f t="array" ref="A27">XLOOKUP(D27,'ORÇAMENTO'!$H$2:$H$997,'ORÇAMENTO'!$A$2:$A$997)</f>
        <v>Comercial Geral</v>
      </c>
      <c r="B27" s="47">
        <f>IFERROR(__xludf.DUMMYFUNCTION("""COMPUTED_VALUE"""),19.0)</f>
        <v>19</v>
      </c>
      <c r="C27" s="48" t="str">
        <f>IFERROR(__xludf.DUMMYFUNCTION("""COMPUTED_VALUE"""),"Mauritiella armata (Mart.) Burret")</f>
        <v>Mauritiella armata (Mart.) Burret</v>
      </c>
      <c r="D27" s="48" t="str">
        <f>IFERROR(__xludf.DUMMYFUNCTION("""COMPUTED_VALUE"""),"Buritiana")</f>
        <v>Buritiana</v>
      </c>
      <c r="E27" s="49">
        <f>IF(ISTEXT(D27),(1*'ORÇAMENTO'!M17),)</f>
        <v>0</v>
      </c>
      <c r="F27" s="50">
        <f>IF(ISTEXT(D27),(1*'ORÇAMENTO'!X17),)</f>
        <v>110.7525267</v>
      </c>
      <c r="G27" s="48">
        <f>IF(ISTEXT(D27),(1*'ORÇAMENTO'!L17),)</f>
        <v>0.5</v>
      </c>
      <c r="H27" s="51"/>
      <c r="I27" s="52" t="str">
        <f t="shared" si="1"/>
        <v/>
      </c>
      <c r="J27" s="53" t="str">
        <f t="shared" si="2"/>
        <v/>
      </c>
      <c r="K27" s="48"/>
    </row>
    <row r="28" ht="15.75" customHeight="1">
      <c r="A28" s="38" t="str">
        <f t="array" ref="A28">XLOOKUP(D28,'ORÇAMENTO'!$H$2:$H$997,'ORÇAMENTO'!$A$2:$A$997)</f>
        <v>Comercial Geral</v>
      </c>
      <c r="B28" s="54">
        <f>IFERROR(__xludf.DUMMYFUNCTION("""COMPUTED_VALUE"""),20.0)</f>
        <v>20</v>
      </c>
      <c r="C28" s="40" t="str">
        <f>IFERROR(__xludf.DUMMYFUNCTION("""COMPUTED_VALUE"""),"Spondias mombin L.")</f>
        <v>Spondias mombin L.</v>
      </c>
      <c r="D28" s="40" t="str">
        <f>IFERROR(__xludf.DUMMYFUNCTION("""COMPUTED_VALUE"""),"Cajá")</f>
        <v>Cajá</v>
      </c>
      <c r="E28" s="41">
        <f>IF(ISTEXT(D28),(1*'ORÇAMENTO'!M18),)</f>
        <v>0</v>
      </c>
      <c r="F28" s="42">
        <f>IF(ISTEXT(D28),(1*'ORÇAMENTO'!X18),)</f>
        <v>184.5952606</v>
      </c>
      <c r="G28" s="40">
        <f>IF(ISTEXT(D28),(1*'ORÇAMENTO'!L18),)</f>
        <v>0.2</v>
      </c>
      <c r="H28" s="43"/>
      <c r="I28" s="44" t="str">
        <f t="shared" si="1"/>
        <v/>
      </c>
      <c r="J28" s="45" t="str">
        <f t="shared" si="2"/>
        <v/>
      </c>
      <c r="K28" s="40"/>
    </row>
    <row r="29" ht="15.75" customHeight="1">
      <c r="A29" s="46" t="str">
        <f t="array" ref="A29">XLOOKUP(D29,'ORÇAMENTO'!$H$2:$H$997,'ORÇAMENTO'!$A$2:$A$997)</f>
        <v>Comercial Geral</v>
      </c>
      <c r="B29" s="47">
        <f>IFERROR(__xludf.DUMMYFUNCTION("""COMPUTED_VALUE"""),21.0)</f>
        <v>21</v>
      </c>
      <c r="C29" s="48" t="str">
        <f>IFERROR(__xludf.DUMMYFUNCTION("""COMPUTED_VALUE"""),"Anacardium occidentale L.")</f>
        <v>Anacardium occidentale L.</v>
      </c>
      <c r="D29" s="48" t="str">
        <f>IFERROR(__xludf.DUMMYFUNCTION("""COMPUTED_VALUE"""),"Caju")</f>
        <v>Caju</v>
      </c>
      <c r="E29" s="49">
        <f>IF(ISTEXT(D29),(1*'ORÇAMENTO'!M19),)</f>
        <v>0</v>
      </c>
      <c r="F29" s="50">
        <f>IF(ISTEXT(D29),(1*'ORÇAMENTO'!X19),)</f>
        <v>42.04621831</v>
      </c>
      <c r="G29" s="48">
        <f>IF(ISTEXT(D29),(1*'ORÇAMENTO'!L19),)</f>
        <v>1</v>
      </c>
      <c r="H29" s="51"/>
      <c r="I29" s="52" t="str">
        <f t="shared" si="1"/>
        <v/>
      </c>
      <c r="J29" s="53" t="str">
        <f t="shared" si="2"/>
        <v/>
      </c>
      <c r="K29" s="48"/>
    </row>
    <row r="30" ht="15.75" customHeight="1">
      <c r="A30" s="38" t="str">
        <f t="array" ref="A30">XLOOKUP(D30,'ORÇAMENTO'!$H$2:$H$997,'ORÇAMENTO'!$A$2:$A$997)</f>
        <v>Comercial Geral</v>
      </c>
      <c r="B30" s="54">
        <f>IFERROR(__xludf.DUMMYFUNCTION("""COMPUTED_VALUE"""),22.0)</f>
        <v>22</v>
      </c>
      <c r="C30" s="40" t="str">
        <f>IFERROR(__xludf.DUMMYFUNCTION("""COMPUTED_VALUE"""),"Anacardium humile A.St.-Hil.")</f>
        <v>Anacardium humile A.St.-Hil.</v>
      </c>
      <c r="D30" s="40" t="str">
        <f>IFERROR(__xludf.DUMMYFUNCTION("""COMPUTED_VALUE"""),"Cajuí")</f>
        <v>Cajuí</v>
      </c>
      <c r="E30" s="41">
        <f>IF(ISTEXT(D30),(1*'ORÇAMENTO'!M20),)</f>
        <v>0</v>
      </c>
      <c r="F30" s="42">
        <f>IF(ISTEXT(D30),(1*'ORÇAMENTO'!X20),)</f>
        <v>42.0437124</v>
      </c>
      <c r="G30" s="40">
        <f>IF(ISTEXT(D30),(1*'ORÇAMENTO'!L20),)</f>
        <v>1</v>
      </c>
      <c r="H30" s="43"/>
      <c r="I30" s="44" t="str">
        <f t="shared" si="1"/>
        <v/>
      </c>
      <c r="J30" s="45" t="str">
        <f t="shared" si="2"/>
        <v/>
      </c>
      <c r="K30" s="40"/>
    </row>
    <row r="31" ht="15.75" customHeight="1">
      <c r="A31" s="46" t="str">
        <f t="array" ref="A31">XLOOKUP(D31,'ORÇAMENTO'!$H$2:$H$997,'ORÇAMENTO'!$A$2:$A$997)</f>
        <v>Comercial Geral</v>
      </c>
      <c r="B31" s="47">
        <f>IFERROR(__xludf.DUMMYFUNCTION("""COMPUTED_VALUE"""),23.0)</f>
        <v>23</v>
      </c>
      <c r="C31" s="48" t="str">
        <f>IFERROR(__xludf.DUMMYFUNCTION("""COMPUTED_VALUE"""),"Eremanthus glomerulatus Less.")</f>
        <v>Eremanthus glomerulatus Less.</v>
      </c>
      <c r="D31" s="48" t="str">
        <f>IFERROR(__xludf.DUMMYFUNCTION("""COMPUTED_VALUE"""),"Candieiro")</f>
        <v>Candieiro</v>
      </c>
      <c r="E31" s="49">
        <f>IF(ISTEXT(D31),(1*'ORÇAMENTO'!M21),)</f>
        <v>0</v>
      </c>
      <c r="F31" s="50">
        <f>IF(ISTEXT(D31),(1*'ORÇAMENTO'!X21),)</f>
        <v>100.5094516</v>
      </c>
      <c r="G31" s="48">
        <f>IF(ISTEXT(D31),(1*'ORÇAMENTO'!L21),)</f>
        <v>1</v>
      </c>
      <c r="H31" s="51"/>
      <c r="I31" s="52" t="str">
        <f t="shared" si="1"/>
        <v/>
      </c>
      <c r="J31" s="53" t="str">
        <f t="shared" si="2"/>
        <v/>
      </c>
      <c r="K31" s="48"/>
    </row>
    <row r="32" ht="15.75" customHeight="1">
      <c r="A32" s="38" t="str">
        <f t="array" ref="A32">XLOOKUP(D32,'ORÇAMENTO'!$H$2:$H$997,'ORÇAMENTO'!$A$2:$A$997)</f>
        <v>Comercial Geral</v>
      </c>
      <c r="B32" s="54">
        <f>IFERROR(__xludf.DUMMYFUNCTION("""COMPUTED_VALUE"""),24.0)</f>
        <v>24</v>
      </c>
      <c r="C32" s="40" t="str">
        <f>IFERROR(__xludf.DUMMYFUNCTION("""COMPUTED_VALUE"""),"Eremanthus uniflorus MacLeish &amp; H.Schumach.")</f>
        <v>Eremanthus uniflorus MacLeish &amp; H.Schumach.</v>
      </c>
      <c r="D32" s="40" t="str">
        <f>IFERROR(__xludf.DUMMYFUNCTION("""COMPUTED_VALUE"""),"Candieiro estrada")</f>
        <v>Candieiro estrada</v>
      </c>
      <c r="E32" s="41">
        <f>IF(ISTEXT(D32),(1*'ORÇAMENTO'!M22),)</f>
        <v>0</v>
      </c>
      <c r="F32" s="42">
        <f>IF(ISTEXT(D32),(1*'ORÇAMENTO'!X22),)</f>
        <v>134.024562</v>
      </c>
      <c r="G32" s="40">
        <f>IF(ISTEXT(D32),(1*'ORÇAMENTO'!L22),)</f>
        <v>3</v>
      </c>
      <c r="H32" s="43"/>
      <c r="I32" s="44" t="str">
        <f t="shared" si="1"/>
        <v/>
      </c>
      <c r="J32" s="45" t="str">
        <f t="shared" si="2"/>
        <v/>
      </c>
      <c r="K32" s="40"/>
    </row>
    <row r="33" ht="15.75" customHeight="1">
      <c r="A33" s="46" t="str">
        <f t="array" ref="A33">XLOOKUP(D33,'ORÇAMENTO'!$H$2:$H$997,'ORÇAMENTO'!$A$2:$A$997)</f>
        <v>Comercial Geral</v>
      </c>
      <c r="B33" s="47">
        <f>IFERROR(__xludf.DUMMYFUNCTION("""COMPUTED_VALUE"""),130.0)</f>
        <v>130</v>
      </c>
      <c r="C33" s="48" t="str">
        <f>IFERROR(__xludf.DUMMYFUNCTION("""COMPUTED_VALUE"""),"Vellozia squamata Pohl")</f>
        <v>Vellozia squamata Pohl</v>
      </c>
      <c r="D33" s="48" t="str">
        <f>IFERROR(__xludf.DUMMYFUNCTION("""COMPUTED_VALUE"""),"Canela de Ema")</f>
        <v>Canela de Ema</v>
      </c>
      <c r="E33" s="49">
        <f>IF(ISTEXT(D33),(1*'ORÇAMENTO'!M23),)</f>
        <v>0</v>
      </c>
      <c r="F33" s="50">
        <f>IF(ISTEXT(D33),(1*'ORÇAMENTO'!X23),)</f>
        <v>369.2214075</v>
      </c>
      <c r="G33" s="48">
        <f>IF(ISTEXT(D33),(1*'ORÇAMENTO'!L23),)</f>
        <v>0.5</v>
      </c>
      <c r="H33" s="51"/>
      <c r="I33" s="52" t="str">
        <f t="shared" si="1"/>
        <v/>
      </c>
      <c r="J33" s="53" t="str">
        <f t="shared" si="2"/>
        <v/>
      </c>
      <c r="K33" s="48"/>
    </row>
    <row r="34" ht="15.75" customHeight="1">
      <c r="A34" s="38" t="str">
        <f t="array" ref="A34">XLOOKUP(D34,'ORÇAMENTO'!$H$2:$H$997,'ORÇAMENTO'!$A$2:$A$997)</f>
        <v>Comercial Geral</v>
      </c>
      <c r="B34" s="54">
        <f>IFERROR(__xludf.DUMMYFUNCTION("""COMPUTED_VALUE"""),25.0)</f>
        <v>25</v>
      </c>
      <c r="C34" s="40" t="str">
        <f>IFERROR(__xludf.DUMMYFUNCTION("""COMPUTED_VALUE"""),"Andropogon fastigiatus Sw.")</f>
        <v>Andropogon fastigiatus Sw.</v>
      </c>
      <c r="D34" s="40" t="str">
        <f>IFERROR(__xludf.DUMMYFUNCTION("""COMPUTED_VALUE"""),"Capim andropogon branco")</f>
        <v>Capim andropogon branco</v>
      </c>
      <c r="E34" s="41">
        <f>IF(ISTEXT(D34),(1*'ORÇAMENTO'!M24),)</f>
        <v>0</v>
      </c>
      <c r="F34" s="42">
        <f>IF(ISTEXT(D34),(1*'ORÇAMENTO'!X24),)</f>
        <v>111.673668</v>
      </c>
      <c r="G34" s="40">
        <f>IF(ISTEXT(D34),(1*'ORÇAMENTO'!L24),)</f>
        <v>3</v>
      </c>
      <c r="H34" s="43"/>
      <c r="I34" s="44" t="str">
        <f t="shared" si="1"/>
        <v/>
      </c>
      <c r="J34" s="45" t="str">
        <f t="shared" si="2"/>
        <v/>
      </c>
      <c r="K34" s="40"/>
    </row>
    <row r="35" ht="15.75" customHeight="1">
      <c r="A35" s="46" t="str">
        <f t="array" ref="A35">XLOOKUP(D35,'ORÇAMENTO'!$H$2:$H$997,'ORÇAMENTO'!$A$2:$A$997)</f>
        <v>Comercial Geral</v>
      </c>
      <c r="B35" s="47"/>
      <c r="C35" s="48" t="str">
        <f>IFERROR(__xludf.DUMMYFUNCTION("""COMPUTED_VALUE"""),"Andropogon angustatus (J. Presl) Steud.")</f>
        <v>Andropogon angustatus (J. Presl) Steud.</v>
      </c>
      <c r="D35" s="48" t="str">
        <f>IFERROR(__xludf.DUMMYFUNCTION("""COMPUTED_VALUE"""),"Capim andropogon vermelho")</f>
        <v>Capim andropogon vermelho</v>
      </c>
      <c r="E35" s="49">
        <f>IF(ISTEXT(D35),(1*'ORÇAMENTO'!M25),)</f>
        <v>0</v>
      </c>
      <c r="F35" s="50">
        <f>IF(ISTEXT(D35),(1*'ORÇAMENTO'!X25),)</f>
        <v>111.673668</v>
      </c>
      <c r="G35" s="48">
        <f>IF(ISTEXT(D35),(1*'ORÇAMENTO'!L25),)</f>
        <v>3</v>
      </c>
      <c r="H35" s="51"/>
      <c r="I35" s="52" t="str">
        <f t="shared" si="1"/>
        <v/>
      </c>
      <c r="J35" s="53" t="str">
        <f t="shared" si="2"/>
        <v/>
      </c>
      <c r="K35" s="48"/>
    </row>
    <row r="36" ht="15.75" customHeight="1">
      <c r="A36" s="38" t="str">
        <f t="array" ref="A36">XLOOKUP(D36,'ORÇAMENTO'!$H$2:$H$997,'ORÇAMENTO'!$A$2:$A$997)</f>
        <v>Comercial Geral</v>
      </c>
      <c r="B36" s="54">
        <f>IFERROR(__xludf.DUMMYFUNCTION("""COMPUTED_VALUE"""),26.0)</f>
        <v>26</v>
      </c>
      <c r="C36" s="40" t="str">
        <f>IFERROR(__xludf.DUMMYFUNCTION("""COMPUTED_VALUE"""),"Aristida gibbosa (Nees) Kunth")</f>
        <v>Aristida gibbosa (Nees) Kunth</v>
      </c>
      <c r="D36" s="40" t="str">
        <f>IFERROR(__xludf.DUMMYFUNCTION("""COMPUTED_VALUE"""),"Capim aristida")</f>
        <v>Capim aristida</v>
      </c>
      <c r="E36" s="41">
        <f>IF(ISTEXT(D36),(1*'ORÇAMENTO'!M26),)</f>
        <v>0</v>
      </c>
      <c r="F36" s="42">
        <f>IF(ISTEXT(D36),(1*'ORÇAMENTO'!X26),)</f>
        <v>134.024562</v>
      </c>
      <c r="G36" s="40">
        <f>IF(ISTEXT(D36),(1*'ORÇAMENTO'!L26),)</f>
        <v>3</v>
      </c>
      <c r="H36" s="43"/>
      <c r="I36" s="44" t="str">
        <f t="shared" si="1"/>
        <v/>
      </c>
      <c r="J36" s="45" t="str">
        <f t="shared" si="2"/>
        <v/>
      </c>
      <c r="K36" s="40"/>
    </row>
    <row r="37" ht="15.75" customHeight="1">
      <c r="A37" s="46" t="str">
        <f t="array" ref="A37">XLOOKUP(D37,'ORÇAMENTO'!$H$2:$H$997,'ORÇAMENTO'!$A$2:$A$997)</f>
        <v>Comercial Geral</v>
      </c>
      <c r="B37" s="47">
        <f>IFERROR(__xludf.DUMMYFUNCTION("""COMPUTED_VALUE"""),27.0)</f>
        <v>27</v>
      </c>
      <c r="C37" s="48" t="str">
        <f>IFERROR(__xludf.DUMMYFUNCTION("""COMPUTED_VALUE"""),"Lagenocarpus rigidus Nees")</f>
        <v>Lagenocarpus rigidus Nees</v>
      </c>
      <c r="D37" s="48" t="str">
        <f>IFERROR(__xludf.DUMMYFUNCTION("""COMPUTED_VALUE"""),"Capim arroz")</f>
        <v>Capim arroz</v>
      </c>
      <c r="E37" s="49">
        <f>IF(ISTEXT(D37),(1*'ORÇAMENTO'!M27),)</f>
        <v>0</v>
      </c>
      <c r="F37" s="50">
        <f>IF(ISTEXT(D37),(1*'ORÇAMENTO'!X27),)</f>
        <v>223.380057</v>
      </c>
      <c r="G37" s="48">
        <f>IF(ISTEXT(D37),(1*'ORÇAMENTO'!L27),)</f>
        <v>0.5</v>
      </c>
      <c r="H37" s="51"/>
      <c r="I37" s="52" t="str">
        <f t="shared" si="1"/>
        <v/>
      </c>
      <c r="J37" s="53" t="str">
        <f t="shared" si="2"/>
        <v/>
      </c>
      <c r="K37" s="48"/>
    </row>
    <row r="38" ht="15.75" customHeight="1">
      <c r="A38" s="38" t="str">
        <f t="array" ref="A38">XLOOKUP(D38,'ORÇAMENTO'!$H$2:$H$997,'ORÇAMENTO'!$A$2:$A$997)</f>
        <v>Comercial Geral</v>
      </c>
      <c r="B38" s="54">
        <f>IFERROR(__xludf.DUMMYFUNCTION("""COMPUTED_VALUE"""),28.0)</f>
        <v>28</v>
      </c>
      <c r="C38" s="40" t="str">
        <f>IFERROR(__xludf.DUMMYFUNCTION("""COMPUTED_VALUE"""),"Loudetiopsis chrysothrix (Nees) Conert ")</f>
        <v>Loudetiopsis chrysothrix (Nees) Conert </v>
      </c>
      <c r="D38" s="40" t="str">
        <f>IFERROR(__xludf.DUMMYFUNCTION("""COMPUTED_VALUE"""),"Capim brinco de princesa")</f>
        <v>Capim brinco de princesa</v>
      </c>
      <c r="E38" s="41">
        <f>IF(ISTEXT(D38),(1*'ORÇAMENTO'!M28),)</f>
        <v>0</v>
      </c>
      <c r="F38" s="42">
        <f>IF(ISTEXT(D38),(1*'ORÇAMENTO'!X28),)</f>
        <v>158.6947148</v>
      </c>
      <c r="G38" s="40">
        <f>IF(ISTEXT(D38),(1*'ORÇAMENTO'!L28),)</f>
        <v>4</v>
      </c>
      <c r="H38" s="43"/>
      <c r="I38" s="44" t="str">
        <f t="shared" si="1"/>
        <v/>
      </c>
      <c r="J38" s="45" t="str">
        <f t="shared" si="2"/>
        <v/>
      </c>
      <c r="K38" s="40"/>
    </row>
    <row r="39" ht="15.75" customHeight="1">
      <c r="A39" s="46" t="str">
        <f t="array" ref="A39">XLOOKUP(D39,'ORÇAMENTO'!$H$2:$H$997,'ORÇAMENTO'!$A$2:$A$997)</f>
        <v>Comercial Geral</v>
      </c>
      <c r="B39" s="47">
        <f>IFERROR(__xludf.DUMMYFUNCTION("""COMPUTED_VALUE"""),29.0)</f>
        <v>29</v>
      </c>
      <c r="C39" s="48" t="str">
        <f>IFERROR(__xludf.DUMMYFUNCTION("""COMPUTED_VALUE"""),"Aristida longifolia Trin.")</f>
        <v>Aristida longifolia Trin.</v>
      </c>
      <c r="D39" s="48" t="str">
        <f>IFERROR(__xludf.DUMMYFUNCTION("""COMPUTED_VALUE"""),"Capim carrapato")</f>
        <v>Capim carrapato</v>
      </c>
      <c r="E39" s="49">
        <f>IF(ISTEXT(D39),(1*'ORÇAMENTO'!M29),)</f>
        <v>0</v>
      </c>
      <c r="F39" s="50">
        <f>IF(ISTEXT(D39),(1*'ORÇAMENTO'!X29),)</f>
        <v>162.4540145</v>
      </c>
      <c r="G39" s="48">
        <f>IF(ISTEXT(D39),(1*'ORÇAMENTO'!L29),)</f>
        <v>1</v>
      </c>
      <c r="H39" s="51"/>
      <c r="I39" s="52" t="str">
        <f t="shared" si="1"/>
        <v/>
      </c>
      <c r="J39" s="53" t="str">
        <f t="shared" si="2"/>
        <v/>
      </c>
      <c r="K39" s="48"/>
    </row>
    <row r="40" ht="15.75" customHeight="1">
      <c r="A40" s="38" t="str">
        <f t="array" ref="A40">XLOOKUP(D40,'ORÇAMENTO'!$H$2:$H$997,'ORÇAMENTO'!$A$2:$A$997)</f>
        <v>Comercial Geral</v>
      </c>
      <c r="B40" s="54">
        <f>IFERROR(__xludf.DUMMYFUNCTION("""COMPUTED_VALUE"""),30.0)</f>
        <v>30</v>
      </c>
      <c r="C40" s="40" t="str">
        <f>IFERROR(__xludf.DUMMYFUNCTION("""COMPUTED_VALUE"""),"Axonopus siccus (Nees) Kuhlm.")</f>
        <v>Axonopus siccus (Nees) Kuhlm.</v>
      </c>
      <c r="D40" s="40" t="str">
        <f>IFERROR(__xludf.DUMMYFUNCTION("""COMPUTED_VALUE"""),"Capim colonião")</f>
        <v>Capim colonião</v>
      </c>
      <c r="E40" s="41">
        <f>IF(ISTEXT(D40),(1*'ORÇAMENTO'!M30),)</f>
        <v>0</v>
      </c>
      <c r="F40" s="42">
        <f>IF(ISTEXT(D40),(1*'ORÇAMENTO'!X30),)</f>
        <v>223.37427</v>
      </c>
      <c r="G40" s="40">
        <f>IF(ISTEXT(D40),(1*'ORÇAMENTO'!L30),)</f>
        <v>0.5</v>
      </c>
      <c r="H40" s="43"/>
      <c r="I40" s="44" t="str">
        <f t="shared" si="1"/>
        <v/>
      </c>
      <c r="J40" s="45" t="str">
        <f t="shared" si="2"/>
        <v/>
      </c>
      <c r="K40" s="40"/>
    </row>
    <row r="41" ht="15.75" customHeight="1">
      <c r="A41" s="46" t="str">
        <f t="array" ref="A41">XLOOKUP(D41,'ORÇAMENTO'!$H$2:$H$997,'ORÇAMENTO'!$A$2:$A$997)</f>
        <v>Comercial Geral</v>
      </c>
      <c r="B41" s="47">
        <f>IFERROR(__xludf.DUMMYFUNCTION("""COMPUTED_VALUE"""),31.0)</f>
        <v>31</v>
      </c>
      <c r="C41" s="48" t="str">
        <f>IFERROR(__xludf.DUMMYFUNCTION("""COMPUTED_VALUE"""),"Rhynchospora consanguinea (Kunth) Boeckeler")</f>
        <v>Rhynchospora consanguinea (Kunth) Boeckeler</v>
      </c>
      <c r="D41" s="48" t="str">
        <f>IFERROR(__xludf.DUMMYFUNCTION("""COMPUTED_VALUE"""),"Capim estrela")</f>
        <v>Capim estrela</v>
      </c>
      <c r="E41" s="49">
        <f>IF(ISTEXT(D41),(1*'ORÇAMENTO'!M31),)</f>
        <v>0</v>
      </c>
      <c r="F41" s="50">
        <f>IF(ISTEXT(D41),(1*'ORÇAMENTO'!X31),)</f>
        <v>276.8986779</v>
      </c>
      <c r="G41" s="48">
        <f>IF(ISTEXT(D41),(1*'ORÇAMENTO'!L31),)</f>
        <v>0.5</v>
      </c>
      <c r="H41" s="51"/>
      <c r="I41" s="52" t="str">
        <f t="shared" si="1"/>
        <v/>
      </c>
      <c r="J41" s="53" t="str">
        <f t="shared" si="2"/>
        <v/>
      </c>
      <c r="K41" s="48"/>
    </row>
    <row r="42" ht="15.75" customHeight="1">
      <c r="A42" s="38" t="str">
        <f t="array" ref="A42">XLOOKUP(D42,'ORÇAMENTO'!$H$2:$H$997,'ORÇAMENTO'!$A$2:$A$997)</f>
        <v>Comercial Geral</v>
      </c>
      <c r="B42" s="54">
        <f>IFERROR(__xludf.DUMMYFUNCTION("""COMPUTED_VALUE"""),32.0)</f>
        <v>32</v>
      </c>
      <c r="C42" s="40" t="str">
        <f>IFERROR(__xludf.DUMMYFUNCTION("""COMPUTED_VALUE"""),"Trachypogon spicatus (L.f.) Kuntze")</f>
        <v>Trachypogon spicatus (L.f.) Kuntze</v>
      </c>
      <c r="D42" s="40" t="str">
        <f>IFERROR(__xludf.DUMMYFUNCTION("""COMPUTED_VALUE"""),"Capim fiapo")</f>
        <v>Capim fiapo</v>
      </c>
      <c r="E42" s="41">
        <f>IF(ISTEXT(D42),(1*'ORÇAMENTO'!M32),)</f>
        <v>0</v>
      </c>
      <c r="F42" s="42">
        <f>IF(ISTEXT(D42),(1*'ORÇAMENTO'!X32),)</f>
        <v>134.024562</v>
      </c>
      <c r="G42" s="40">
        <f>IF(ISTEXT(D42),(1*'ORÇAMENTO'!L32),)</f>
        <v>1</v>
      </c>
      <c r="H42" s="43"/>
      <c r="I42" s="44" t="str">
        <f t="shared" si="1"/>
        <v/>
      </c>
      <c r="J42" s="45" t="str">
        <f t="shared" si="2"/>
        <v/>
      </c>
      <c r="K42" s="40"/>
    </row>
    <row r="43" ht="15.75" customHeight="1">
      <c r="A43" s="46" t="str">
        <f t="array" ref="A43">XLOOKUP(D43,'ORÇAMENTO'!$H$2:$H$997,'ORÇAMENTO'!$A$2:$A$997)</f>
        <v>Comercial Geral</v>
      </c>
      <c r="B43" s="47">
        <f>IFERROR(__xludf.DUMMYFUNCTION("""COMPUTED_VALUE"""),33.0)</f>
        <v>33</v>
      </c>
      <c r="C43" s="48" t="str">
        <f>IFERROR(__xludf.DUMMYFUNCTION("""COMPUTED_VALUE"""),"Echinolaena inflexa (Poir.) Chase")</f>
        <v>Echinolaena inflexa (Poir.) Chase</v>
      </c>
      <c r="D43" s="48" t="str">
        <f>IFERROR(__xludf.DUMMYFUNCTION("""COMPUTED_VALUE"""),"Capim flechinha")</f>
        <v>Capim flechinha</v>
      </c>
      <c r="E43" s="49">
        <f>IF(ISTEXT(D43),(1*'ORÇAMENTO'!M33),)</f>
        <v>0</v>
      </c>
      <c r="F43" s="50">
        <f>IF(ISTEXT(D43),(1*'ORÇAMENTO'!X33),)</f>
        <v>781.8099449</v>
      </c>
      <c r="G43" s="48">
        <f>IF(ISTEXT(D43),(1*'ORÇAMENTO'!L33),)</f>
        <v>0.1</v>
      </c>
      <c r="H43" s="55"/>
      <c r="I43" s="52" t="str">
        <f t="shared" si="1"/>
        <v/>
      </c>
      <c r="J43" s="53" t="str">
        <f t="shared" si="2"/>
        <v/>
      </c>
      <c r="K43" s="48"/>
    </row>
    <row r="44" ht="15.75" customHeight="1">
      <c r="A44" s="38" t="str">
        <f t="array" ref="A44">XLOOKUP(D44,'ORÇAMENTO'!$H$2:$H$997,'ORÇAMENTO'!$A$2:$A$997)</f>
        <v>Comercial Geral</v>
      </c>
      <c r="B44" s="54">
        <f>IFERROR(__xludf.DUMMYFUNCTION("""COMPUTED_VALUE"""),34.0)</f>
        <v>34</v>
      </c>
      <c r="C44" s="40" t="str">
        <f>IFERROR(__xludf.DUMMYFUNCTION("""COMPUTED_VALUE"""),"Hyparrhenia bracteata (Humb. &amp; Bonpl. ex Willd.) Stapf")</f>
        <v>Hyparrhenia bracteata (Humb. &amp; Bonpl. ex Willd.) Stapf</v>
      </c>
      <c r="D44" s="40" t="str">
        <f>IFERROR(__xludf.DUMMYFUNCTION("""COMPUTED_VALUE"""),"Capim jaraguá nativo")</f>
        <v>Capim jaraguá nativo</v>
      </c>
      <c r="E44" s="41">
        <f>IF(ISTEXT(D44),(1*'ORÇAMENTO'!M34),)</f>
        <v>0</v>
      </c>
      <c r="F44" s="42">
        <f>IF(ISTEXT(D44),(1*'ORÇAMENTO'!X34),)</f>
        <v>178.699416</v>
      </c>
      <c r="G44" s="40">
        <f>IF(ISTEXT(D44),(1*'ORÇAMENTO'!L34),)</f>
        <v>0.3</v>
      </c>
      <c r="H44" s="43"/>
      <c r="I44" s="44" t="str">
        <f t="shared" si="1"/>
        <v/>
      </c>
      <c r="J44" s="45" t="str">
        <f t="shared" si="2"/>
        <v/>
      </c>
      <c r="K44" s="40"/>
    </row>
    <row r="45" ht="15.75" customHeight="1">
      <c r="A45" s="46" t="str">
        <f t="array" ref="A45">XLOOKUP(D45,'ORÇAMENTO'!$H$2:$H$997,'ORÇAMENTO'!$A$2:$A$997)</f>
        <v>Comercial Geral</v>
      </c>
      <c r="B45" s="47">
        <f>IFERROR(__xludf.DUMMYFUNCTION("""COMPUTED_VALUE"""),39.0)</f>
        <v>39</v>
      </c>
      <c r="C45" s="48" t="str">
        <f>IFERROR(__xludf.DUMMYFUNCTION("""COMPUTED_VALUE"""),"Andropogon leucostachyus Kunth")</f>
        <v>Andropogon leucostachyus Kunth</v>
      </c>
      <c r="D45" s="48" t="str">
        <f>IFERROR(__xludf.DUMMYFUNCTION("""COMPUTED_VALUE"""),"Capim mulungu")</f>
        <v>Capim mulungu</v>
      </c>
      <c r="E45" s="49">
        <f>IF(ISTEXT(D45),(1*'ORÇAMENTO'!M35),)</f>
        <v>0</v>
      </c>
      <c r="F45" s="50">
        <f>IF(ISTEXT(D45),(1*'ORÇAMENTO'!X35),)</f>
        <v>162.4540145</v>
      </c>
      <c r="G45" s="48">
        <f>IF(ISTEXT(D45),(1*'ORÇAMENTO'!L35),)</f>
        <v>1</v>
      </c>
      <c r="H45" s="51"/>
      <c r="I45" s="52" t="str">
        <f t="shared" si="1"/>
        <v/>
      </c>
      <c r="J45" s="53" t="str">
        <f t="shared" si="2"/>
        <v/>
      </c>
      <c r="K45" s="48"/>
    </row>
    <row r="46" ht="15.75" customHeight="1">
      <c r="A46" s="38" t="str">
        <f t="array" ref="A46">XLOOKUP(D46,'ORÇAMENTO'!$H$2:$H$997,'ORÇAMENTO'!$A$2:$A$997)</f>
        <v>Comercial Geral</v>
      </c>
      <c r="B46" s="54">
        <f>IFERROR(__xludf.DUMMYFUNCTION("""COMPUTED_VALUE"""),35.0)</f>
        <v>35</v>
      </c>
      <c r="C46" s="40" t="str">
        <f>IFERROR(__xludf.DUMMYFUNCTION("""COMPUTED_VALUE"""),"Paspalum stellatum Humb. &amp; Bonpl. ex Flüggé")</f>
        <v>Paspalum stellatum Humb. &amp; Bonpl. ex Flüggé</v>
      </c>
      <c r="D46" s="40" t="str">
        <f>IFERROR(__xludf.DUMMYFUNCTION("""COMPUTED_VALUE"""),"Capim orelha de coelho")</f>
        <v>Capim orelha de coelho</v>
      </c>
      <c r="E46" s="41">
        <f>IF(ISTEXT(D46),(1*'ORÇAMENTO'!M36),)</f>
        <v>0</v>
      </c>
      <c r="F46" s="42">
        <f>IF(ISTEXT(D46),(1*'ORÇAMENTO'!X36),)</f>
        <v>223.37427</v>
      </c>
      <c r="G46" s="40">
        <f>IF(ISTEXT(D46),(1*'ORÇAMENTO'!L36),)</f>
        <v>0.5</v>
      </c>
      <c r="H46" s="43"/>
      <c r="I46" s="44" t="str">
        <f t="shared" si="1"/>
        <v/>
      </c>
      <c r="J46" s="45" t="str">
        <f t="shared" si="2"/>
        <v/>
      </c>
      <c r="K46" s="40"/>
    </row>
    <row r="47" ht="15.75" customHeight="1">
      <c r="A47" s="46" t="str">
        <f t="array" ref="A47">XLOOKUP(D47,'ORÇAMENTO'!$H$2:$H$997,'ORÇAMENTO'!$A$2:$A$997)</f>
        <v>Comercial Geral</v>
      </c>
      <c r="B47" s="47">
        <f>IFERROR(__xludf.DUMMYFUNCTION("""COMPUTED_VALUE"""),36.0)</f>
        <v>36</v>
      </c>
      <c r="C47" s="48" t="str">
        <f>IFERROR(__xludf.DUMMYFUNCTION("""COMPUTED_VALUE"""),"Axonopus aureus P. Beauv.")</f>
        <v>Axonopus aureus P. Beauv.</v>
      </c>
      <c r="D47" s="48" t="str">
        <f>IFERROR(__xludf.DUMMYFUNCTION("""COMPUTED_VALUE"""),"Capim pé de galinha")</f>
        <v>Capim pé de galinha</v>
      </c>
      <c r="E47" s="49">
        <f>IF(ISTEXT(D47),(1*'ORÇAMENTO'!M37),)</f>
        <v>0</v>
      </c>
      <c r="F47" s="50">
        <f>IF(ISTEXT(D47),(1*'ORÇAMENTO'!X37),)</f>
        <v>193.926228</v>
      </c>
      <c r="G47" s="48">
        <f>IF(ISTEXT(D47),(1*'ORÇAMENTO'!L37),)</f>
        <v>0.5</v>
      </c>
      <c r="H47" s="51"/>
      <c r="I47" s="52" t="str">
        <f t="shared" si="1"/>
        <v/>
      </c>
      <c r="J47" s="53" t="str">
        <f t="shared" si="2"/>
        <v/>
      </c>
      <c r="K47" s="48"/>
    </row>
    <row r="48" ht="15.75" customHeight="1">
      <c r="A48" s="38" t="str">
        <f t="array" ref="A48">XLOOKUP(D48,'ORÇAMENTO'!$H$2:$H$997,'ORÇAMENTO'!$A$2:$A$997)</f>
        <v>Comercial Geral</v>
      </c>
      <c r="B48" s="54">
        <f>IFERROR(__xludf.DUMMYFUNCTION("""COMPUTED_VALUE"""),37.0)</f>
        <v>37</v>
      </c>
      <c r="C48" s="40" t="str">
        <f>IFERROR(__xludf.DUMMYFUNCTION("""COMPUTED_VALUE"""),"Aristida riparia Trin.")</f>
        <v>Aristida riparia Trin.</v>
      </c>
      <c r="D48" s="40" t="str">
        <f>IFERROR(__xludf.DUMMYFUNCTION("""COMPUTED_VALUE"""),"Capim rabo de burro")</f>
        <v>Capim rabo de burro</v>
      </c>
      <c r="E48" s="41">
        <f>IF(ISTEXT(D48),(1*'ORÇAMENTO'!M38),)</f>
        <v>0</v>
      </c>
      <c r="F48" s="42">
        <f>IF(ISTEXT(D48),(1*'ORÇAMENTO'!X38),)</f>
        <v>178.699416</v>
      </c>
      <c r="G48" s="40">
        <f>IF(ISTEXT(D48),(1*'ORÇAMENTO'!L38),)</f>
        <v>2</v>
      </c>
      <c r="H48" s="43"/>
      <c r="I48" s="44" t="str">
        <f t="shared" si="1"/>
        <v/>
      </c>
      <c r="J48" s="45" t="str">
        <f t="shared" si="2"/>
        <v/>
      </c>
      <c r="K48" s="40"/>
    </row>
    <row r="49" ht="15.75" customHeight="1">
      <c r="A49" s="46" t="str">
        <f t="array" ref="A49">XLOOKUP(D49,'ORÇAMENTO'!$H$2:$H$997,'ORÇAMENTO'!$A$2:$A$997)</f>
        <v>Comercial Geral</v>
      </c>
      <c r="B49" s="47">
        <f>IFERROR(__xludf.DUMMYFUNCTION("""COMPUTED_VALUE"""),131.0)</f>
        <v>131</v>
      </c>
      <c r="C49" s="48" t="str">
        <f>IFERROR(__xludf.DUMMYFUNCTION("""COMPUTED_VALUE"""),"Paspalum eucomum Nees ex Trin.")</f>
        <v>Paspalum eucomum Nees ex Trin.</v>
      </c>
      <c r="D49" s="48" t="str">
        <f>IFERROR(__xludf.DUMMYFUNCTION("""COMPUTED_VALUE"""),"Capim ralinho")</f>
        <v>Capim ralinho</v>
      </c>
      <c r="E49" s="49">
        <f>IF(ISTEXT(D49),(1*'ORÇAMENTO'!M39),)</f>
        <v>0</v>
      </c>
      <c r="F49" s="50">
        <f>IF(ISTEXT(D49),(1*'ORÇAMENTO'!X39),)</f>
        <v>264.473616</v>
      </c>
      <c r="G49" s="48">
        <f>IF(ISTEXT(D49),(1*'ORÇAMENTO'!L39),)</f>
        <v>1</v>
      </c>
      <c r="H49" s="51"/>
      <c r="I49" s="52" t="str">
        <f t="shared" si="1"/>
        <v/>
      </c>
      <c r="J49" s="53" t="str">
        <f t="shared" si="2"/>
        <v/>
      </c>
      <c r="K49" s="48"/>
    </row>
    <row r="50" ht="15.75" customHeight="1">
      <c r="A50" s="38" t="str">
        <f t="array" ref="A50">XLOOKUP(D50,'ORÇAMENTO'!$H$2:$H$997,'ORÇAMENTO'!$A$2:$A$997)</f>
        <v>Comercial Geral</v>
      </c>
      <c r="B50" s="54">
        <f>IFERROR(__xludf.DUMMYFUNCTION("""COMPUTED_VALUE"""),38.0)</f>
        <v>38</v>
      </c>
      <c r="C50" s="40" t="str">
        <f>IFERROR(__xludf.DUMMYFUNCTION("""COMPUTED_VALUE"""),"Schizachyrium sanguineum (Retz.) Alston")</f>
        <v>Schizachyrium sanguineum (Retz.) Alston</v>
      </c>
      <c r="D50" s="40" t="str">
        <f>IFERROR(__xludf.DUMMYFUNCTION("""COMPUTED_VALUE"""),"Capim roxo")</f>
        <v>Capim roxo</v>
      </c>
      <c r="E50" s="41">
        <f>IF(ISTEXT(D50),(1*'ORÇAMENTO'!M40),)</f>
        <v>0</v>
      </c>
      <c r="F50" s="42">
        <f>IF(ISTEXT(D50),(1*'ORÇAMENTO'!X40),)</f>
        <v>201.0336928</v>
      </c>
      <c r="G50" s="40">
        <f>IF(ISTEXT(D50),(1*'ORÇAMENTO'!L40),)</f>
        <v>3</v>
      </c>
      <c r="H50" s="43"/>
      <c r="I50" s="44" t="str">
        <f t="shared" si="1"/>
        <v/>
      </c>
      <c r="J50" s="45" t="str">
        <f t="shared" si="2"/>
        <v/>
      </c>
      <c r="K50" s="40"/>
    </row>
    <row r="51" ht="15.75" customHeight="1">
      <c r="A51" s="46" t="str">
        <f t="array" ref="A51">XLOOKUP(D51,'ORÇAMENTO'!$H$2:$H$997,'ORÇAMENTO'!$A$2:$A$997)</f>
        <v>Comercial Geral</v>
      </c>
      <c r="B51" s="47">
        <f>IFERROR(__xludf.DUMMYFUNCTION("""COMPUTED_VALUE"""),40.0)</f>
        <v>40</v>
      </c>
      <c r="C51" s="48" t="str">
        <f>IFERROR(__xludf.DUMMYFUNCTION("""COMPUTED_VALUE"""),"Andropogon bicornis L.")</f>
        <v>Andropogon bicornis L.</v>
      </c>
      <c r="D51" s="48" t="str">
        <f>IFERROR(__xludf.DUMMYFUNCTION("""COMPUTED_VALUE"""),"Capim vassoura")</f>
        <v>Capim vassoura</v>
      </c>
      <c r="E51" s="49">
        <f>IF(ISTEXT(D51),(1*'ORÇAMENTO'!M41),)</f>
        <v>0</v>
      </c>
      <c r="F51" s="50">
        <f>IF(ISTEXT(D51),(1*'ORÇAMENTO'!X41),)</f>
        <v>162.4540145</v>
      </c>
      <c r="G51" s="48">
        <f>IF(ISTEXT(D51),(1*'ORÇAMENTO'!L41),)</f>
        <v>1</v>
      </c>
      <c r="H51" s="51"/>
      <c r="I51" s="52" t="str">
        <f t="shared" si="1"/>
        <v/>
      </c>
      <c r="J51" s="53" t="str">
        <f t="shared" si="2"/>
        <v/>
      </c>
      <c r="K51" s="48"/>
    </row>
    <row r="52" ht="15.75" customHeight="1">
      <c r="A52" s="38" t="str">
        <f t="array" ref="A52">XLOOKUP(D52,'ORÇAMENTO'!$H$2:$H$997,'ORÇAMENTO'!$A$2:$A$997)</f>
        <v>Comercial Geral</v>
      </c>
      <c r="B52" s="54">
        <f>IFERROR(__xludf.DUMMYFUNCTION("""COMPUTED_VALUE"""),41.0)</f>
        <v>41</v>
      </c>
      <c r="C52" s="40" t="str">
        <f>IFERROR(__xludf.DUMMYFUNCTION("""COMPUTED_VALUE"""),"Terminalia argentea Mart. &amp; Zucc.")</f>
        <v>Terminalia argentea Mart. &amp; Zucc.</v>
      </c>
      <c r="D52" s="40" t="str">
        <f>IFERROR(__xludf.DUMMYFUNCTION("""COMPUTED_VALUE"""),"Capitão da mata/Maria preta")</f>
        <v>Capitão da mata/Maria preta</v>
      </c>
      <c r="E52" s="41">
        <f>IF(ISTEXT(D52),(1*'ORÇAMENTO'!M42),)</f>
        <v>0</v>
      </c>
      <c r="F52" s="42">
        <f>IF(ISTEXT(D52),(1*'ORÇAMENTO'!X42),)</f>
        <v>33.48101</v>
      </c>
      <c r="G52" s="40">
        <f>IF(ISTEXT(D52),(1*'ORÇAMENTO'!L42),)</f>
        <v>2</v>
      </c>
      <c r="H52" s="43"/>
      <c r="I52" s="44" t="str">
        <f t="shared" si="1"/>
        <v/>
      </c>
      <c r="J52" s="45" t="str">
        <f t="shared" si="2"/>
        <v/>
      </c>
      <c r="K52" s="40"/>
    </row>
    <row r="53" ht="15.75" customHeight="1">
      <c r="A53" s="46" t="str">
        <f t="array" ref="A53">XLOOKUP(D53,'ORÇAMENTO'!$H$2:$H$997,'ORÇAMENTO'!$A$2:$A$997)</f>
        <v>Comercial Geral</v>
      </c>
      <c r="B53" s="47">
        <f>IFERROR(__xludf.DUMMYFUNCTION("""COMPUTED_VALUE"""),42.0)</f>
        <v>42</v>
      </c>
      <c r="C53" s="48" t="str">
        <f>IFERROR(__xludf.DUMMYFUNCTION("""COMPUTED_VALUE"""),"Terminalia fagifolia Mart.")</f>
        <v>Terminalia fagifolia Mart.</v>
      </c>
      <c r="D53" s="48" t="str">
        <f>IFERROR(__xludf.DUMMYFUNCTION("""COMPUTED_VALUE"""),"Capitão do cerrado/Mussambé")</f>
        <v>Capitão do cerrado/Mussambé</v>
      </c>
      <c r="E53" s="49">
        <f>IF(ISTEXT(D53),(1*'ORÇAMENTO'!M43),)</f>
        <v>0</v>
      </c>
      <c r="F53" s="50">
        <f>IF(ISTEXT(D53),(1*'ORÇAMENTO'!X43),)</f>
        <v>33.48101</v>
      </c>
      <c r="G53" s="48">
        <f>IF(ISTEXT(D53),(1*'ORÇAMENTO'!L43),)</f>
        <v>3</v>
      </c>
      <c r="H53" s="51"/>
      <c r="I53" s="52" t="str">
        <f t="shared" si="1"/>
        <v/>
      </c>
      <c r="J53" s="53" t="str">
        <f t="shared" si="2"/>
        <v/>
      </c>
      <c r="K53" s="48"/>
    </row>
    <row r="54" ht="15.75" customHeight="1">
      <c r="A54" s="38" t="str">
        <f t="array" ref="A54">XLOOKUP(D54,'ORÇAMENTO'!$H$2:$H$997,'ORÇAMENTO'!$A$2:$A$997)</f>
        <v>Comercial Geral</v>
      </c>
      <c r="B54" s="54">
        <f>IFERROR(__xludf.DUMMYFUNCTION("""COMPUTED_VALUE"""),43.0)</f>
        <v>43</v>
      </c>
      <c r="C54" s="40" t="str">
        <f>IFERROR(__xludf.DUMMYFUNCTION("""COMPUTED_VALUE"""),"Emmotum nitens (Benth.) Miers")</f>
        <v>Emmotum nitens (Benth.) Miers</v>
      </c>
      <c r="D54" s="40" t="str">
        <f>IFERROR(__xludf.DUMMYFUNCTION("""COMPUTED_VALUE"""),"Carne de vaca/Sôbre")</f>
        <v>Carne de vaca/Sôbre</v>
      </c>
      <c r="E54" s="41">
        <f>IF(ISTEXT(D54),(1*'ORÇAMENTO'!M44),)</f>
        <v>0</v>
      </c>
      <c r="F54" s="42">
        <f>IF(ISTEXT(D54),(1*'ORÇAMENTO'!X44),)</f>
        <v>20.0991512</v>
      </c>
      <c r="G54" s="40">
        <f>IF(ISTEXT(D54),(1*'ORÇAMENTO'!L44),)</f>
        <v>4</v>
      </c>
      <c r="H54" s="43"/>
      <c r="I54" s="44" t="str">
        <f t="shared" si="1"/>
        <v/>
      </c>
      <c r="J54" s="45" t="str">
        <f t="shared" si="2"/>
        <v/>
      </c>
      <c r="K54" s="40"/>
    </row>
    <row r="55" ht="15.75" customHeight="1">
      <c r="A55" s="46" t="str">
        <f t="array" ref="A55">XLOOKUP(D55,'ORÇAMENTO'!$H$2:$H$997,'ORÇAMENTO'!$A$2:$A$997)</f>
        <v>Comercial Geral</v>
      </c>
      <c r="B55" s="47">
        <f>IFERROR(__xludf.DUMMYFUNCTION("""COMPUTED_VALUE"""),44.0)</f>
        <v>44</v>
      </c>
      <c r="C55" s="48" t="str">
        <f>IFERROR(__xludf.DUMMYFUNCTION("""COMPUTED_VALUE"""),"Jacaranda brasiliana (Lam.) Pers.")</f>
        <v>Jacaranda brasiliana (Lam.) Pers.</v>
      </c>
      <c r="D55" s="48" t="str">
        <f>IFERROR(__xludf.DUMMYFUNCTION("""COMPUTED_VALUE"""),"Caroba")</f>
        <v>Caroba</v>
      </c>
      <c r="E55" s="49">
        <f>IF(ISTEXT(D55),(1*'ORÇAMENTO'!M45),)</f>
        <v>0</v>
      </c>
      <c r="F55" s="50">
        <f>IF(ISTEXT(D55),(1*'ORÇAMENTO'!X45),)</f>
        <v>284.2945254</v>
      </c>
      <c r="G55" s="48">
        <f>IF(ISTEXT(D55),(1*'ORÇAMENTO'!L45),)</f>
        <v>0.1</v>
      </c>
      <c r="H55" s="51"/>
      <c r="I55" s="52" t="str">
        <f t="shared" si="1"/>
        <v/>
      </c>
      <c r="J55" s="53" t="str">
        <f t="shared" si="2"/>
        <v/>
      </c>
      <c r="K55" s="48"/>
    </row>
    <row r="56" ht="15.75" customHeight="1">
      <c r="A56" s="38" t="str">
        <f t="array" ref="A56">XLOOKUP(D56,'ORÇAMENTO'!$H$2:$H$997,'ORÇAMENTO'!$A$2:$A$997)</f>
        <v>Comercial Geral</v>
      </c>
      <c r="B56" s="54">
        <f>IFERROR(__xludf.DUMMYFUNCTION("""COMPUTED_VALUE"""),46.0)</f>
        <v>46</v>
      </c>
      <c r="C56" s="40" t="str">
        <f>IFERROR(__xludf.DUMMYFUNCTION("""COMPUTED_VALUE"""),"Tachigali vulgaris L.G.Silva &amp; H.C.Lima")</f>
        <v>Tachigali vulgaris L.G.Silva &amp; H.C.Lima</v>
      </c>
      <c r="D56" s="40" t="str">
        <f>IFERROR(__xludf.DUMMYFUNCTION("""COMPUTED_VALUE"""),"Carvoeiro")</f>
        <v>Carvoeiro</v>
      </c>
      <c r="E56" s="41">
        <f>IF(ISTEXT(D56),(1*'ORÇAMENTO'!M46),)</f>
        <v>0</v>
      </c>
      <c r="F56" s="42">
        <f>IF(ISTEXT(D56),(1*'ORÇAMENTO'!X46),)</f>
        <v>100.5094516</v>
      </c>
      <c r="G56" s="40">
        <f>IF(ISTEXT(D56),(1*'ORÇAMENTO'!L46),)</f>
        <v>0.5</v>
      </c>
      <c r="H56" s="43"/>
      <c r="I56" s="44" t="str">
        <f t="shared" si="1"/>
        <v/>
      </c>
      <c r="J56" s="45" t="str">
        <f t="shared" si="2"/>
        <v/>
      </c>
      <c r="K56" s="40"/>
    </row>
    <row r="57" ht="15.75" customHeight="1">
      <c r="A57" s="46" t="str">
        <f t="array" ref="A57">XLOOKUP(D57,'ORÇAMENTO'!$H$2:$H$997,'ORÇAMENTO'!$A$2:$A$997)</f>
        <v>Comercial Geral</v>
      </c>
      <c r="B57" s="47">
        <f>IFERROR(__xludf.DUMMYFUNCTION("""COMPUTED_VALUE"""),47.0)</f>
        <v>47</v>
      </c>
      <c r="C57" s="48" t="str">
        <f>IFERROR(__xludf.DUMMYFUNCTION("""COMPUTED_VALUE"""),"Chromolaena maximiliani (Schrad. ex DC.) R.M.King &amp; H.Rob.")</f>
        <v>Chromolaena maximiliani (Schrad. ex DC.) R.M.King &amp; H.Rob.</v>
      </c>
      <c r="D57" s="48" t="str">
        <f>IFERROR(__xludf.DUMMYFUNCTION("""COMPUTED_VALUE"""),"Casadinha")</f>
        <v>Casadinha</v>
      </c>
      <c r="E57" s="49">
        <f>IF(ISTEXT(D57),(1*'ORÇAMENTO'!M47),)</f>
        <v>0</v>
      </c>
      <c r="F57" s="50">
        <f>IF(ISTEXT(D57),(1*'ORÇAMENTO'!X47),)</f>
        <v>141.0631404</v>
      </c>
      <c r="G57" s="48">
        <f>IF(ISTEXT(D57),(1*'ORÇAMENTO'!L47),)</f>
        <v>1</v>
      </c>
      <c r="H57" s="51"/>
      <c r="I57" s="52" t="str">
        <f t="shared" si="1"/>
        <v/>
      </c>
      <c r="J57" s="53" t="str">
        <f t="shared" si="2"/>
        <v/>
      </c>
      <c r="K57" s="48"/>
    </row>
    <row r="58" ht="15.75" customHeight="1">
      <c r="A58" s="38" t="str">
        <f t="array" ref="A58">XLOOKUP(D58,'ORÇAMENTO'!$H$2:$H$997,'ORÇAMENTO'!$A$2:$A$997)</f>
        <v>Comercial Geral</v>
      </c>
      <c r="B58" s="54">
        <f>IFERROR(__xludf.DUMMYFUNCTION("""COMPUTED_VALUE"""),48.0)</f>
        <v>48</v>
      </c>
      <c r="C58" s="40" t="str">
        <f>IFERROR(__xludf.DUMMYFUNCTION("""COMPUTED_VALUE"""),"Leptolobium dasycarpum Vogel")</f>
        <v>Leptolobium dasycarpum Vogel</v>
      </c>
      <c r="D58" s="40" t="str">
        <f>IFERROR(__xludf.DUMMYFUNCTION("""COMPUTED_VALUE"""),"Chapada/Unha d'anta")</f>
        <v>Chapada/Unha d'anta</v>
      </c>
      <c r="E58" s="41">
        <f>IF(ISTEXT(D58),(1*'ORÇAMENTO'!M48),)</f>
        <v>0</v>
      </c>
      <c r="F58" s="42">
        <f>IF(ISTEXT(D58),(1*'ORÇAMENTO'!X48),)</f>
        <v>100.5094516</v>
      </c>
      <c r="G58" s="40">
        <f>IF(ISTEXT(D58),(1*'ORÇAMENTO'!L48),)</f>
        <v>0.5</v>
      </c>
      <c r="H58" s="43"/>
      <c r="I58" s="44" t="str">
        <f t="shared" si="1"/>
        <v/>
      </c>
      <c r="J58" s="45" t="str">
        <f t="shared" si="2"/>
        <v/>
      </c>
      <c r="K58" s="40"/>
    </row>
    <row r="59" ht="15.75" customHeight="1">
      <c r="A59" s="46" t="str">
        <f t="array" ref="A59">XLOOKUP(D59,'ORÇAMENTO'!$H$2:$H$997,'ORÇAMENTO'!$A$2:$A$997)</f>
        <v>Comercial Geral</v>
      </c>
      <c r="B59" s="47">
        <f>IFERROR(__xludf.DUMMYFUNCTION("""COMPUTED_VALUE"""),49.0)</f>
        <v>49</v>
      </c>
      <c r="C59" s="48" t="str">
        <f>IFERROR(__xludf.DUMMYFUNCTION("""COMPUTED_VALUE"""),"Sterculia striata A.St.-Hil. &amp; Naudin")</f>
        <v>Sterculia striata A.St.-Hil. &amp; Naudin</v>
      </c>
      <c r="D59" s="48" t="str">
        <f>IFERROR(__xludf.DUMMYFUNCTION("""COMPUTED_VALUE"""),"Chichá")</f>
        <v>Chichá</v>
      </c>
      <c r="E59" s="49">
        <f>IF(ISTEXT(D59),(1*'ORÇAMENTO'!M49),)</f>
        <v>0</v>
      </c>
      <c r="F59" s="50">
        <f>IF(ISTEXT(D59),(1*'ORÇAMENTO'!X49),)</f>
        <v>223.37427</v>
      </c>
      <c r="G59" s="48">
        <f>IF(ISTEXT(D59),(1*'ORÇAMENTO'!L49),)</f>
        <v>0.1</v>
      </c>
      <c r="H59" s="51"/>
      <c r="I59" s="52" t="str">
        <f t="shared" si="1"/>
        <v/>
      </c>
      <c r="J59" s="53" t="str">
        <f t="shared" si="2"/>
        <v/>
      </c>
      <c r="K59" s="48"/>
    </row>
    <row r="60" ht="15.75" customHeight="1">
      <c r="A60" s="38" t="str">
        <f t="array" ref="A60">XLOOKUP(D60,'ORÇAMENTO'!$H$2:$H$997,'ORÇAMENTO'!$A$2:$A$997)</f>
        <v>Comercial Geral</v>
      </c>
      <c r="B60" s="54">
        <f>IFERROR(__xludf.DUMMYFUNCTION("""COMPUTED_VALUE"""),50.0)</f>
        <v>50</v>
      </c>
      <c r="C60" s="40" t="str">
        <f>IFERROR(__xludf.DUMMYFUNCTION("""COMPUTED_VALUE"""),"Paepalanthus chiquitensis Herzog")</f>
        <v>Paepalanthus chiquitensis Herzog</v>
      </c>
      <c r="D60" s="40" t="str">
        <f>IFERROR(__xludf.DUMMYFUNCTION("""COMPUTED_VALUE"""),"Chuveirinho/Sempre viva")</f>
        <v>Chuveirinho/Sempre viva</v>
      </c>
      <c r="E60" s="41">
        <f>IF(ISTEXT(D60),(1*'ORÇAMENTO'!M50),)</f>
        <v>0</v>
      </c>
      <c r="F60" s="42">
        <f>IF(ISTEXT(D60),(1*'ORÇAMENTO'!X50),)</f>
        <v>212.2116048</v>
      </c>
      <c r="G60" s="40">
        <f>IF(ISTEXT(D60),(1*'ORÇAMENTO'!L50),)</f>
        <v>0.1</v>
      </c>
      <c r="H60" s="43"/>
      <c r="I60" s="44" t="str">
        <f t="shared" si="1"/>
        <v/>
      </c>
      <c r="J60" s="45" t="str">
        <f t="shared" si="2"/>
        <v/>
      </c>
      <c r="K60" s="40"/>
    </row>
    <row r="61" ht="15.75" customHeight="1">
      <c r="A61" s="46" t="str">
        <f t="array" ref="A61">XLOOKUP(D61,'ORÇAMENTO'!$H$2:$H$997,'ORÇAMENTO'!$A$2:$A$997)</f>
        <v>Comercial Geral</v>
      </c>
      <c r="B61" s="47">
        <f>IFERROR(__xludf.DUMMYFUNCTION("""COMPUTED_VALUE"""),52.0)</f>
        <v>52</v>
      </c>
      <c r="C61" s="48" t="str">
        <f>IFERROR(__xludf.DUMMYFUNCTION("""COMPUTED_VALUE"""),"Copaifera langsdorffii Desf.")</f>
        <v>Copaifera langsdorffii Desf.</v>
      </c>
      <c r="D61" s="48" t="str">
        <f>IFERROR(__xludf.DUMMYFUNCTION("""COMPUTED_VALUE"""),"Copaíba/Pau d'óleo")</f>
        <v>Copaíba/Pau d'óleo</v>
      </c>
      <c r="E61" s="49">
        <f>IF(ISTEXT(D61),(1*'ORÇAMENTO'!M51),)</f>
        <v>0</v>
      </c>
      <c r="F61" s="50">
        <f>IF(ISTEXT(D61),(1*'ORÇAMENTO'!X51),)</f>
        <v>129.2132102</v>
      </c>
      <c r="G61" s="48">
        <f>IF(ISTEXT(D61),(1*'ORÇAMENTO'!L51),)</f>
        <v>1</v>
      </c>
      <c r="H61" s="55"/>
      <c r="I61" s="52" t="str">
        <f t="shared" si="1"/>
        <v/>
      </c>
      <c r="J61" s="53" t="str">
        <f t="shared" si="2"/>
        <v/>
      </c>
      <c r="K61" s="48"/>
    </row>
    <row r="62" ht="15.75" customHeight="1">
      <c r="A62" s="38" t="str">
        <f t="array" ref="A62">XLOOKUP(D62,'ORÇAMENTO'!$H$2:$H$997,'ORÇAMENTO'!$A$2:$A$997)</f>
        <v>Comercial Geral</v>
      </c>
      <c r="B62" s="54">
        <f>IFERROR(__xludf.DUMMYFUNCTION("""COMPUTED_VALUE"""),53.0)</f>
        <v>53</v>
      </c>
      <c r="C62" s="40" t="str">
        <f>IFERROR(__xludf.DUMMYFUNCTION("""COMPUTED_VALUE"""),"Cordia alliodora (Ruiz &amp; Pav.) Cham.")</f>
        <v>Cordia alliodora (Ruiz &amp; Pav.) Cham.</v>
      </c>
      <c r="D62" s="40" t="str">
        <f>IFERROR(__xludf.DUMMYFUNCTION("""COMPUTED_VALUE"""),"Cordia")</f>
        <v>Cordia</v>
      </c>
      <c r="E62" s="41">
        <f>IF(ISTEXT(D62),(1*'ORÇAMENTO'!M52),)</f>
        <v>0</v>
      </c>
      <c r="F62" s="42">
        <f>IF(ISTEXT(D62),(1*'ORÇAMENTO'!X52),)</f>
        <v>178.699416</v>
      </c>
      <c r="G62" s="40">
        <f>IF(ISTEXT(D62),(1*'ORÇAMENTO'!L52),)</f>
        <v>2</v>
      </c>
      <c r="H62" s="43"/>
      <c r="I62" s="44" t="str">
        <f t="shared" si="1"/>
        <v/>
      </c>
      <c r="J62" s="45" t="str">
        <f t="shared" si="2"/>
        <v/>
      </c>
      <c r="K62" s="40"/>
    </row>
    <row r="63" ht="15.75" customHeight="1">
      <c r="A63" s="46" t="str">
        <f t="array" ref="A63">XLOOKUP(D63,'ORÇAMENTO'!$H$2:$H$997,'ORÇAMENTO'!$A$2:$A$997)</f>
        <v>Comercial Geral</v>
      </c>
      <c r="B63" s="47">
        <f>IFERROR(__xludf.DUMMYFUNCTION("""COMPUTED_VALUE"""),54.0)</f>
        <v>54</v>
      </c>
      <c r="C63" s="48" t="str">
        <f>IFERROR(__xludf.DUMMYFUNCTION("""COMPUTED_VALUE"""),"Cecropia pachystachya Trécul")</f>
        <v>Cecropia pachystachya Trécul</v>
      </c>
      <c r="D63" s="48" t="str">
        <f>IFERROR(__xludf.DUMMYFUNCTION("""COMPUTED_VALUE"""),"Embaúba")</f>
        <v>Embaúba</v>
      </c>
      <c r="E63" s="49">
        <f>IF(ISTEXT(D63),(1*'ORÇAMENTO'!M53),)</f>
        <v>0</v>
      </c>
      <c r="F63" s="50">
        <f>IF(ISTEXT(D63),(1*'ORÇAMENTO'!X53),)</f>
        <v>239.977311</v>
      </c>
      <c r="G63" s="48">
        <f>IF(ISTEXT(D63),(1*'ORÇAMENTO'!L53),)</f>
        <v>0.1</v>
      </c>
      <c r="H63" s="51"/>
      <c r="I63" s="52" t="str">
        <f t="shared" si="1"/>
        <v/>
      </c>
      <c r="J63" s="53" t="str">
        <f t="shared" si="2"/>
        <v/>
      </c>
      <c r="K63" s="48"/>
    </row>
    <row r="64" ht="15.75" customHeight="1">
      <c r="A64" s="38" t="str">
        <f t="array" ref="A64">XLOOKUP(D64,'ORÇAMENTO'!$H$2:$H$997,'ORÇAMENTO'!$A$2:$A$997)</f>
        <v>Comercial Geral</v>
      </c>
      <c r="B64" s="54">
        <f>IFERROR(__xludf.DUMMYFUNCTION("""COMPUTED_VALUE"""),55.0)</f>
        <v>55</v>
      </c>
      <c r="C64" s="40" t="str">
        <f>IFERROR(__xludf.DUMMYFUNCTION("""COMPUTED_VALUE"""),"Dimorphandra mollis Benth.")</f>
        <v>Dimorphandra mollis Benth.</v>
      </c>
      <c r="D64" s="40" t="str">
        <f>IFERROR(__xludf.DUMMYFUNCTION("""COMPUTED_VALUE"""),"Favela")</f>
        <v>Favela</v>
      </c>
      <c r="E64" s="41">
        <f>IF(ISTEXT(D64),(1*'ORÇAMENTO'!M54),)</f>
        <v>0</v>
      </c>
      <c r="F64" s="42">
        <f>IF(ISTEXT(D64),(1*'ORÇAMENTO'!X54),)</f>
        <v>406.1350363</v>
      </c>
      <c r="G64" s="40">
        <f>IF(ISTEXT(D64),(1*'ORÇAMENTO'!L54),)</f>
        <v>0.5</v>
      </c>
      <c r="H64" s="43"/>
      <c r="I64" s="44" t="str">
        <f t="shared" si="1"/>
        <v/>
      </c>
      <c r="J64" s="45" t="str">
        <f t="shared" si="2"/>
        <v/>
      </c>
      <c r="K64" s="40"/>
    </row>
    <row r="65" ht="15.75" customHeight="1">
      <c r="A65" s="46" t="str">
        <f t="array" ref="A65">XLOOKUP(D65,'ORÇAMENTO'!$H$2:$H$997,'ORÇAMENTO'!$A$2:$A$997)</f>
        <v>Comercial Geral</v>
      </c>
      <c r="B65" s="47">
        <f>IFERROR(__xludf.DUMMYFUNCTION("""COMPUTED_VALUE"""),56.0)</f>
        <v>56</v>
      </c>
      <c r="C65" s="48" t="str">
        <f>IFERROR(__xludf.DUMMYFUNCTION("""COMPUTED_VALUE"""),"Senna alata (L.) Roxb.")</f>
        <v>Senna alata (L.) Roxb.</v>
      </c>
      <c r="D65" s="48" t="str">
        <f>IFERROR(__xludf.DUMMYFUNCTION("""COMPUTED_VALUE"""),"Fedegosão")</f>
        <v>Fedegosão</v>
      </c>
      <c r="E65" s="49">
        <f>IF(ISTEXT(D65),(1*'ORÇAMENTO'!M55),)</f>
        <v>0</v>
      </c>
      <c r="F65" s="50">
        <f>IF(ISTEXT(D65),(1*'ORÇAMENTO'!X55),)</f>
        <v>70.63764676</v>
      </c>
      <c r="G65" s="48">
        <f>IF(ISTEXT(D65),(1*'ORÇAMENTO'!L55),)</f>
        <v>2</v>
      </c>
      <c r="H65" s="51"/>
      <c r="I65" s="52" t="str">
        <f t="shared" si="1"/>
        <v/>
      </c>
      <c r="J65" s="53" t="str">
        <f t="shared" si="2"/>
        <v/>
      </c>
      <c r="K65" s="48"/>
    </row>
    <row r="66" ht="15.75" customHeight="1">
      <c r="A66" s="38" t="str">
        <f t="array" ref="A66">XLOOKUP(D66,'ORÇAMENTO'!$H$2:$H$997,'ORÇAMENTO'!$A$2:$A$997)</f>
        <v>Comercial Geral</v>
      </c>
      <c r="B66" s="54">
        <f>IFERROR(__xludf.DUMMYFUNCTION("""COMPUTED_VALUE"""),112.0)</f>
        <v>112</v>
      </c>
      <c r="C66" s="40" t="str">
        <f>IFERROR(__xludf.DUMMYFUNCTION("""COMPUTED_VALUE"""),"Trichogonia prancei G.M.Barroso")</f>
        <v>Trichogonia prancei G.M.Barroso</v>
      </c>
      <c r="D66" s="40" t="str">
        <f>IFERROR(__xludf.DUMMYFUNCTION("""COMPUTED_VALUE"""),"Flor do ET")</f>
        <v>Flor do ET</v>
      </c>
      <c r="E66" s="41">
        <f>IF(ISTEXT(D66),(1*'ORÇAMENTO'!M56),)</f>
        <v>0</v>
      </c>
      <c r="F66" s="42">
        <f>IF(ISTEXT(D66),(1*'ORÇAMENTO'!X56),)</f>
        <v>335.0631848</v>
      </c>
      <c r="G66" s="40">
        <f>IF(ISTEXT(D66),(1*'ORÇAMENTO'!L56),)</f>
        <v>0.1</v>
      </c>
      <c r="H66" s="43"/>
      <c r="I66" s="44" t="str">
        <f t="shared" si="1"/>
        <v/>
      </c>
      <c r="J66" s="45" t="str">
        <f t="shared" si="2"/>
        <v/>
      </c>
      <c r="K66" s="40"/>
    </row>
    <row r="67" ht="15.75" customHeight="1">
      <c r="A67" s="46" t="str">
        <f t="array" ref="A67">XLOOKUP(D67,'ORÇAMENTO'!$H$2:$H$997,'ORÇAMENTO'!$A$2:$A$997)</f>
        <v>Comercial Geral</v>
      </c>
      <c r="B67" s="47">
        <f>IFERROR(__xludf.DUMMYFUNCTION("""COMPUTED_VALUE"""),57.0)</f>
        <v>57</v>
      </c>
      <c r="C67" s="48" t="str">
        <f>IFERROR(__xludf.DUMMYFUNCTION("""COMPUTED_VALUE"""),"Ficus adhatodifolia Schott in Spreng.")</f>
        <v>Ficus adhatodifolia Schott in Spreng.</v>
      </c>
      <c r="D67" s="48" t="str">
        <f>IFERROR(__xludf.DUMMYFUNCTION("""COMPUTED_VALUE"""),"Gameleira")</f>
        <v>Gameleira</v>
      </c>
      <c r="E67" s="49">
        <f>IF(ISTEXT(D67),(1*'ORÇAMENTO'!M57),)</f>
        <v>0</v>
      </c>
      <c r="F67" s="50">
        <f>IF(ISTEXT(D67),(1*'ORÇAMENTO'!X57),)</f>
        <v>276.8986779</v>
      </c>
      <c r="G67" s="48">
        <f>IF(ISTEXT(D67),(1*'ORÇAMENTO'!L57),)</f>
        <v>3</v>
      </c>
      <c r="H67" s="51"/>
      <c r="I67" s="52" t="str">
        <f t="shared" si="1"/>
        <v/>
      </c>
      <c r="J67" s="53" t="str">
        <f t="shared" si="2"/>
        <v/>
      </c>
      <c r="K67" s="48"/>
    </row>
    <row r="68" ht="15.75" customHeight="1">
      <c r="A68" s="38" t="str">
        <f t="array" ref="A68">XLOOKUP(D68,'ORÇAMENTO'!$H$2:$H$997,'ORÇAMENTO'!$A$2:$A$997)</f>
        <v>Comercial Geral</v>
      </c>
      <c r="B68" s="54">
        <f>IFERROR(__xludf.DUMMYFUNCTION("""COMPUTED_VALUE"""),60.0)</f>
        <v>60</v>
      </c>
      <c r="C68" s="40" t="str">
        <f>IFERROR(__xludf.DUMMYFUNCTION("""COMPUTED_VALUE"""),"Astronium fraxinifolium Schott")</f>
        <v>Astronium fraxinifolium Schott</v>
      </c>
      <c r="D68" s="40" t="str">
        <f>IFERROR(__xludf.DUMMYFUNCTION("""COMPUTED_VALUE"""),"Gonçalo")</f>
        <v>Gonçalo</v>
      </c>
      <c r="E68" s="41">
        <f>IF(ISTEXT(D68),(1*'ORÇAMENTO'!M58),)</f>
        <v>0</v>
      </c>
      <c r="F68" s="42">
        <f>IF(ISTEXT(D68),(1*'ORÇAMENTO'!X58),)</f>
        <v>92.30341734</v>
      </c>
      <c r="G68" s="40">
        <f>IF(ISTEXT(D68),(1*'ORÇAMENTO'!L58),)</f>
        <v>0.1</v>
      </c>
      <c r="H68" s="43"/>
      <c r="I68" s="44" t="str">
        <f t="shared" si="1"/>
        <v/>
      </c>
      <c r="J68" s="45" t="str">
        <f t="shared" si="2"/>
        <v/>
      </c>
      <c r="K68" s="40"/>
    </row>
    <row r="69" ht="15.75" customHeight="1">
      <c r="A69" s="46" t="str">
        <f t="array" ref="A69">XLOOKUP(D69,'ORÇAMENTO'!$H$2:$H$997,'ORÇAMENTO'!$A$2:$A$997)</f>
        <v>Comercial Geral</v>
      </c>
      <c r="B69" s="47">
        <f>IFERROR(__xludf.DUMMYFUNCTION("""COMPUTED_VALUE"""),116.0)</f>
        <v>116</v>
      </c>
      <c r="C69" s="48" t="str">
        <f>IFERROR(__xludf.DUMMYFUNCTION("""COMPUTED_VALUE"""),"Trema micrantha (L.) Blume")</f>
        <v>Trema micrantha (L.) Blume</v>
      </c>
      <c r="D69" s="48" t="str">
        <f>IFERROR(__xludf.DUMMYFUNCTION("""COMPUTED_VALUE"""),"Grandiúva/Mutamba branca")</f>
        <v>Grandiúva/Mutamba branca</v>
      </c>
      <c r="E69" s="49">
        <f>IF(ISTEXT(D69),(1*'ORÇAMENTO'!M59),)</f>
        <v>0</v>
      </c>
      <c r="F69" s="50">
        <f>IF(ISTEXT(D69),(1*'ORÇAMENTO'!X59),)</f>
        <v>516.9046136</v>
      </c>
      <c r="G69" s="48">
        <f>IF(ISTEXT(D69),(1*'ORÇAMENTO'!L59),)</f>
        <v>0.2</v>
      </c>
      <c r="H69" s="51"/>
      <c r="I69" s="52" t="str">
        <f t="shared" si="1"/>
        <v/>
      </c>
      <c r="J69" s="53" t="str">
        <f t="shared" si="2"/>
        <v/>
      </c>
      <c r="K69" s="48"/>
    </row>
    <row r="70" ht="15.75" customHeight="1">
      <c r="A70" s="38" t="str">
        <f t="array" ref="A70">XLOOKUP(D70,'ORÇAMENTO'!$H$2:$H$997,'ORÇAMENTO'!$A$2:$A$997)</f>
        <v>Comercial Geral</v>
      </c>
      <c r="B70" s="54">
        <f>IFERROR(__xludf.DUMMYFUNCTION("""COMPUTED_VALUE"""),61.0)</f>
        <v>61</v>
      </c>
      <c r="C70" s="40" t="str">
        <f>IFERROR(__xludf.DUMMYFUNCTION("""COMPUTED_VALUE"""),"Syagrus oleracea (Mart.) Becc.")</f>
        <v>Syagrus oleracea (Mart.) Becc.</v>
      </c>
      <c r="D70" s="40" t="str">
        <f>IFERROR(__xludf.DUMMYFUNCTION("""COMPUTED_VALUE"""),"Guariroba/Gueroba")</f>
        <v>Guariroba/Gueroba</v>
      </c>
      <c r="E70" s="41">
        <f>IF(ISTEXT(D70),(1*'ORÇAMENTO'!M60),)</f>
        <v>0</v>
      </c>
      <c r="F70" s="42">
        <f>IF(ISTEXT(D70),(1*'ORÇAMENTO'!X60),)</f>
        <v>44.078936</v>
      </c>
      <c r="G70" s="40">
        <f>IF(ISTEXT(D70),(1*'ORÇAMENTO'!L60),)</f>
        <v>2</v>
      </c>
      <c r="H70" s="43"/>
      <c r="I70" s="44" t="str">
        <f t="shared" si="1"/>
        <v/>
      </c>
      <c r="J70" s="45" t="str">
        <f t="shared" si="2"/>
        <v/>
      </c>
      <c r="K70" s="40"/>
    </row>
    <row r="71" ht="15.75" customHeight="1">
      <c r="A71" s="46" t="str">
        <f t="array" ref="A71">XLOOKUP(D71,'ORÇAMENTO'!$H$2:$H$997,'ORÇAMENTO'!$A$2:$A$997)</f>
        <v>Comercial Geral</v>
      </c>
      <c r="B71" s="47">
        <f>IFERROR(__xludf.DUMMYFUNCTION("""COMPUTED_VALUE"""),124.0)</f>
        <v>124</v>
      </c>
      <c r="C71" s="48" t="str">
        <f>IFERROR(__xludf.DUMMYFUNCTION("""COMPUTED_VALUE"""),"Syagrus comosa (Mart.) Mart.")</f>
        <v>Syagrus comosa (Mart.) Mart.</v>
      </c>
      <c r="D71" s="48" t="str">
        <f>IFERROR(__xludf.DUMMYFUNCTION("""COMPUTED_VALUE"""),"Gueroba do Cerrado / Catulé")</f>
        <v>Gueroba do Cerrado / Catulé</v>
      </c>
      <c r="E71" s="49">
        <f>IF(ISTEXT(D71),(1*'ORÇAMENTO'!M61),)</f>
        <v>0</v>
      </c>
      <c r="F71" s="50">
        <f>IF(ISTEXT(D71),(1*'ORÇAMENTO'!X61),)</f>
        <v>44.078936</v>
      </c>
      <c r="G71" s="48">
        <f>IF(ISTEXT(D71),(1*'ORÇAMENTO'!L61),)</f>
        <v>2</v>
      </c>
      <c r="H71" s="51"/>
      <c r="I71" s="52" t="str">
        <f t="shared" si="1"/>
        <v/>
      </c>
      <c r="J71" s="53" t="str">
        <f t="shared" si="2"/>
        <v/>
      </c>
      <c r="K71" s="48"/>
    </row>
    <row r="72" ht="15.75" customHeight="1">
      <c r="A72" s="38" t="str">
        <f t="array" ref="A72">XLOOKUP(D72,'ORÇAMENTO'!$H$2:$H$997,'ORÇAMENTO'!$A$2:$A$997)</f>
        <v>Comercial Geral</v>
      </c>
      <c r="B72" s="54">
        <f>IFERROR(__xludf.DUMMYFUNCTION("""COMPUTED_VALUE"""),62.0)</f>
        <v>62</v>
      </c>
      <c r="C72" s="40" t="str">
        <f>IFERROR(__xludf.DUMMYFUNCTION("""COMPUTED_VALUE"""),"Handroanthus serratifolius (Vahl) S.Grose")</f>
        <v>Handroanthus serratifolius (Vahl) S.Grose</v>
      </c>
      <c r="D72" s="40" t="str">
        <f>IFERROR(__xludf.DUMMYFUNCTION("""COMPUTED_VALUE"""),"Ipê amarelo da mata")</f>
        <v>Ipê amarelo da mata</v>
      </c>
      <c r="E72" s="41">
        <f>IF(ISTEXT(D72),(1*'ORÇAMENTO'!M62),)</f>
        <v>0</v>
      </c>
      <c r="F72" s="42">
        <f>IF(ISTEXT(D72),(1*'ORÇAMENTO'!X62),)</f>
        <v>245.7137052</v>
      </c>
      <c r="G72" s="40">
        <f>IF(ISTEXT(D72),(1*'ORÇAMENTO'!L62),)</f>
        <v>0.5</v>
      </c>
      <c r="H72" s="43"/>
      <c r="I72" s="44" t="str">
        <f t="shared" si="1"/>
        <v/>
      </c>
      <c r="J72" s="45" t="str">
        <f t="shared" si="2"/>
        <v/>
      </c>
      <c r="K72" s="40"/>
    </row>
    <row r="73" ht="15.75" customHeight="1">
      <c r="A73" s="46" t="str">
        <f t="array" ref="A73">XLOOKUP(D73,'ORÇAMENTO'!$H$2:$H$997,'ORÇAMENTO'!$A$2:$A$997)</f>
        <v>Comercial Geral</v>
      </c>
      <c r="B73" s="47">
        <f>IFERROR(__xludf.DUMMYFUNCTION("""COMPUTED_VALUE"""),64.0)</f>
        <v>64</v>
      </c>
      <c r="C73" s="48" t="str">
        <f>IFERROR(__xludf.DUMMYFUNCTION("""COMPUTED_VALUE"""),"Tabebuia aurea (Silva Manso) Benth. &amp; Hook.f. ex S.Moore")</f>
        <v>Tabebuia aurea (Silva Manso) Benth. &amp; Hook.f. ex S.Moore</v>
      </c>
      <c r="D73" s="48" t="str">
        <f>IFERROR(__xludf.DUMMYFUNCTION("""COMPUTED_VALUE"""),"Ipê caraíba")</f>
        <v>Ipê caraíba</v>
      </c>
      <c r="E73" s="49">
        <f>IF(ISTEXT(D73),(1*'ORÇAMENTO'!M63),)</f>
        <v>0</v>
      </c>
      <c r="F73" s="50">
        <f>IF(ISTEXT(D73),(1*'ORÇAMENTO'!X63),)</f>
        <v>228.8941112</v>
      </c>
      <c r="G73" s="48">
        <f>IF(ISTEXT(D73),(1*'ORÇAMENTO'!L63),)</f>
        <v>0.5</v>
      </c>
      <c r="H73" s="55"/>
      <c r="I73" s="52" t="str">
        <f t="shared" si="1"/>
        <v/>
      </c>
      <c r="J73" s="53" t="str">
        <f t="shared" si="2"/>
        <v/>
      </c>
      <c r="K73" s="48"/>
    </row>
    <row r="74" ht="15.75" customHeight="1">
      <c r="A74" s="38" t="str">
        <f t="array" ref="A74">XLOOKUP(D74,'ORÇAMENTO'!$H$2:$H$997,'ORÇAMENTO'!$A$2:$A$997)</f>
        <v>Comercial Geral</v>
      </c>
      <c r="B74" s="54">
        <f>IFERROR(__xludf.DUMMYFUNCTION("""COMPUTED_VALUE"""),65.0)</f>
        <v>65</v>
      </c>
      <c r="C74" s="40" t="str">
        <f>IFERROR(__xludf.DUMMYFUNCTION("""COMPUTED_VALUE"""),"Handroanthus impetiginosus (Mart. ex DC.) Mattos")</f>
        <v>Handroanthus impetiginosus (Mart. ex DC.) Mattos</v>
      </c>
      <c r="D74" s="40" t="str">
        <f>IFERROR(__xludf.DUMMYFUNCTION("""COMPUTED_VALUE"""),"Ipê roxo")</f>
        <v>Ipê roxo</v>
      </c>
      <c r="E74" s="41">
        <f>IF(ISTEXT(D74),(1*'ORÇAMENTO'!M64),)</f>
        <v>0</v>
      </c>
      <c r="F74" s="42">
        <f>IF(ISTEXT(D74),(1*'ORÇAMENTO'!X64),)</f>
        <v>245.7137052</v>
      </c>
      <c r="G74" s="40">
        <f>IF(ISTEXT(D74),(1*'ORÇAMENTO'!L64),)</f>
        <v>0.5</v>
      </c>
      <c r="H74" s="43"/>
      <c r="I74" s="44" t="str">
        <f t="shared" si="1"/>
        <v/>
      </c>
      <c r="J74" s="45" t="str">
        <f t="shared" si="2"/>
        <v/>
      </c>
      <c r="K74" s="40"/>
    </row>
    <row r="75" ht="15.75" customHeight="1">
      <c r="A75" s="46" t="str">
        <f t="array" ref="A75">XLOOKUP(D75,'ORÇAMENTO'!$H$2:$H$997,'ORÇAMENTO'!$A$2:$A$997)</f>
        <v>Comercial Geral</v>
      </c>
      <c r="B75" s="47">
        <f>IFERROR(__xludf.DUMMYFUNCTION("""COMPUTED_VALUE"""),66.0)</f>
        <v>66</v>
      </c>
      <c r="C75" s="48" t="str">
        <f>IFERROR(__xludf.DUMMYFUNCTION("""COMPUTED_VALUE"""),"Machaerium opacum Vogel")</f>
        <v>Machaerium opacum Vogel</v>
      </c>
      <c r="D75" s="48" t="str">
        <f>IFERROR(__xludf.DUMMYFUNCTION("""COMPUTED_VALUE"""),"Jacarandá")</f>
        <v>Jacarandá</v>
      </c>
      <c r="E75" s="49">
        <f>IF(ISTEXT(D75),(1*'ORÇAMENTO'!M65),)</f>
        <v>0</v>
      </c>
      <c r="F75" s="50">
        <f>IF(ISTEXT(D75),(1*'ORÇAMENTO'!X65),)</f>
        <v>67.01401711</v>
      </c>
      <c r="G75" s="48">
        <f>IF(ISTEXT(D75),(1*'ORÇAMENTO'!L65),)</f>
        <v>0.1</v>
      </c>
      <c r="H75" s="51"/>
      <c r="I75" s="52" t="str">
        <f t="shared" si="1"/>
        <v/>
      </c>
      <c r="J75" s="53" t="str">
        <f t="shared" si="2"/>
        <v/>
      </c>
      <c r="K75" s="48"/>
    </row>
    <row r="76" ht="15.75" customHeight="1">
      <c r="A76" s="38" t="str">
        <f t="array" ref="A76">XLOOKUP(D76,'ORÇAMENTO'!$H$2:$H$997,'ORÇAMENTO'!$A$2:$A$997)</f>
        <v>Comercial Geral</v>
      </c>
      <c r="B76" s="54">
        <f>IFERROR(__xludf.DUMMYFUNCTION("""COMPUTED_VALUE"""),67.0)</f>
        <v>67</v>
      </c>
      <c r="C76" s="40" t="str">
        <f>IFERROR(__xludf.DUMMYFUNCTION("""COMPUTED_VALUE"""),"Hymenaea courbaril L.")</f>
        <v>Hymenaea courbaril L.</v>
      </c>
      <c r="D76" s="40" t="str">
        <f>IFERROR(__xludf.DUMMYFUNCTION("""COMPUTED_VALUE"""),"Jatobá da mata")</f>
        <v>Jatobá da mata</v>
      </c>
      <c r="E76" s="41">
        <f>IF(ISTEXT(D76),(1*'ORÇAMENTO'!M66),)</f>
        <v>0</v>
      </c>
      <c r="F76" s="42">
        <f>IF(ISTEXT(D76),(1*'ORÇAMENTO'!X66),)</f>
        <v>73.84273387</v>
      </c>
      <c r="G76" s="40">
        <f>IF(ISTEXT(D76),(1*'ORÇAMENTO'!L66),)</f>
        <v>2</v>
      </c>
      <c r="H76" s="43"/>
      <c r="I76" s="44" t="str">
        <f t="shared" si="1"/>
        <v/>
      </c>
      <c r="J76" s="45" t="str">
        <f t="shared" si="2"/>
        <v/>
      </c>
      <c r="K76" s="40"/>
    </row>
    <row r="77" ht="15.75" customHeight="1">
      <c r="A77" s="46" t="str">
        <f t="array" ref="A77">XLOOKUP(D77,'ORÇAMENTO'!$H$2:$H$997,'ORÇAMENTO'!$A$2:$A$997)</f>
        <v>Comercial Geral</v>
      </c>
      <c r="B77" s="47">
        <f>IFERROR(__xludf.DUMMYFUNCTION("""COMPUTED_VALUE"""),137.0)</f>
        <v>137</v>
      </c>
      <c r="C77" s="48" t="str">
        <f>IFERROR(__xludf.DUMMYFUNCTION("""COMPUTED_VALUE"""),"Peltogyne confertiflora (Mart. ex Hayne) Benth. ")</f>
        <v>Peltogyne confertiflora (Mart. ex Hayne) Benth. </v>
      </c>
      <c r="D77" s="48" t="str">
        <f>IFERROR(__xludf.DUMMYFUNCTION("""COMPUTED_VALUE"""),"Jatobá de brinco")</f>
        <v>Jatobá de brinco</v>
      </c>
      <c r="E77" s="49">
        <f>IF(ISTEXT(D77),(1*'ORÇAMENTO'!M67),)</f>
        <v>0</v>
      </c>
      <c r="F77" s="50">
        <f>IF(ISTEXT(D77),(1*'ORÇAMENTO'!X67),)</f>
        <v>129.2164381</v>
      </c>
      <c r="G77" s="48">
        <f>IF(ISTEXT(D77),(1*'ORÇAMENTO'!L67),)</f>
        <v>1</v>
      </c>
      <c r="H77" s="51"/>
      <c r="I77" s="52" t="str">
        <f t="shared" si="1"/>
        <v/>
      </c>
      <c r="J77" s="53" t="str">
        <f t="shared" si="2"/>
        <v/>
      </c>
      <c r="K77" s="48"/>
    </row>
    <row r="78" ht="15.75" customHeight="1">
      <c r="A78" s="38" t="str">
        <f t="array" ref="A78">XLOOKUP(D78,'ORÇAMENTO'!$H$2:$H$997,'ORÇAMENTO'!$A$2:$A$997)</f>
        <v>Comercial Geral</v>
      </c>
      <c r="B78" s="54">
        <f>IFERROR(__xludf.DUMMYFUNCTION("""COMPUTED_VALUE"""),68.0)</f>
        <v>68</v>
      </c>
      <c r="C78" s="40" t="str">
        <f>IFERROR(__xludf.DUMMYFUNCTION("""COMPUTED_VALUE"""),"Hymenaea stigonocarpa Mart. ex Hayne")</f>
        <v>Hymenaea stigonocarpa Mart. ex Hayne</v>
      </c>
      <c r="D78" s="40" t="str">
        <f>IFERROR(__xludf.DUMMYFUNCTION("""COMPUTED_VALUE"""),"Jatobá do cerrado")</f>
        <v>Jatobá do cerrado</v>
      </c>
      <c r="E78" s="41">
        <f>IF(ISTEXT(D78),(1*'ORÇAMENTO'!M68),)</f>
        <v>0</v>
      </c>
      <c r="F78" s="42">
        <f>IF(ISTEXT(D78),(1*'ORÇAMENTO'!X68),)</f>
        <v>101.527972</v>
      </c>
      <c r="G78" s="40">
        <f>IF(ISTEXT(D78),(1*'ORÇAMENTO'!L68),)</f>
        <v>1</v>
      </c>
      <c r="H78" s="43"/>
      <c r="I78" s="44" t="str">
        <f t="shared" si="1"/>
        <v/>
      </c>
      <c r="J78" s="45" t="str">
        <f t="shared" si="2"/>
        <v/>
      </c>
      <c r="K78" s="40"/>
    </row>
    <row r="79" ht="15.75" customHeight="1">
      <c r="A79" s="46" t="str">
        <f t="array" ref="A79">XLOOKUP(D79,'ORÇAMENTO'!$H$2:$H$997,'ORÇAMENTO'!$A$2:$A$997)</f>
        <v>Comercial Geral</v>
      </c>
      <c r="B79" s="47">
        <f>IFERROR(__xludf.DUMMYFUNCTION("""COMPUTED_VALUE"""),69.0)</f>
        <v>69</v>
      </c>
      <c r="C79" s="48" t="str">
        <f>IFERROR(__xludf.DUMMYFUNCTION("""COMPUTED_VALUE"""),"Cariniana rubra Gardner ex Miers")</f>
        <v>Cariniana rubra Gardner ex Miers</v>
      </c>
      <c r="D79" s="48" t="str">
        <f>IFERROR(__xludf.DUMMYFUNCTION("""COMPUTED_VALUE"""),"Jequitibá")</f>
        <v>Jequitibá</v>
      </c>
      <c r="E79" s="49">
        <f>IF(ISTEXT(D79),(1*'ORÇAMENTO'!M69),)</f>
        <v>0</v>
      </c>
      <c r="F79" s="50">
        <f>IF(ISTEXT(D79),(1*'ORÇAMENTO'!X69),)</f>
        <v>553.8233588</v>
      </c>
      <c r="G79" s="48">
        <f>IF(ISTEXT(D79),(1*'ORÇAMENTO'!L69),)</f>
        <v>0.1</v>
      </c>
      <c r="H79" s="51"/>
      <c r="I79" s="52" t="str">
        <f t="shared" si="1"/>
        <v/>
      </c>
      <c r="J79" s="53" t="str">
        <f t="shared" si="2"/>
        <v/>
      </c>
      <c r="K79" s="48"/>
    </row>
    <row r="80" ht="15.75" customHeight="1">
      <c r="A80" s="38" t="str">
        <f t="array" ref="A80">XLOOKUP(D80,'ORÇAMENTO'!$H$2:$H$997,'ORÇAMENTO'!$A$2:$A$997)</f>
        <v>Comercial Geral</v>
      </c>
      <c r="B80" s="54">
        <f>IFERROR(__xludf.DUMMYFUNCTION("""COMPUTED_VALUE"""),72.0)</f>
        <v>72</v>
      </c>
      <c r="C80" s="40" t="str">
        <f>IFERROR(__xludf.DUMMYFUNCTION("""COMPUTED_VALUE"""),"Solanum lycocarpum A.St.-Hil.")</f>
        <v>Solanum lycocarpum A.St.-Hil.</v>
      </c>
      <c r="D80" s="40" t="str">
        <f>IFERROR(__xludf.DUMMYFUNCTION("""COMPUTED_VALUE"""),"Lobeira")</f>
        <v>Lobeira</v>
      </c>
      <c r="E80" s="41">
        <f>IF(ISTEXT(D80),(1*'ORÇAMENTO'!M70),)</f>
        <v>0</v>
      </c>
      <c r="F80" s="42">
        <f>IF(ISTEXT(D80),(1*'ORÇAMENTO'!X70),)</f>
        <v>269.113504</v>
      </c>
      <c r="G80" s="40">
        <f>IF(ISTEXT(D80),(1*'ORÇAMENTO'!L70),)</f>
        <v>0.5</v>
      </c>
      <c r="H80" s="43"/>
      <c r="I80" s="44" t="str">
        <f t="shared" si="1"/>
        <v/>
      </c>
      <c r="J80" s="45" t="str">
        <f t="shared" si="2"/>
        <v/>
      </c>
      <c r="K80" s="40"/>
    </row>
    <row r="81" ht="15.75" customHeight="1">
      <c r="A81" s="46" t="str">
        <f t="array" ref="A81">XLOOKUP(D81,'ORÇAMENTO'!$H$2:$H$997,'ORÇAMENTO'!$A$2:$A$997)</f>
        <v>Comercial Geral</v>
      </c>
      <c r="B81" s="47">
        <f>IFERROR(__xludf.DUMMYFUNCTION("""COMPUTED_VALUE"""),73.0)</f>
        <v>73</v>
      </c>
      <c r="C81" s="48" t="str">
        <f>IFERROR(__xludf.DUMMYFUNCTION("""COMPUTED_VALUE"""),"Achyrocline satureioides (Lam.) DC.")</f>
        <v>Achyrocline satureioides (Lam.) DC.</v>
      </c>
      <c r="D81" s="48" t="str">
        <f>IFERROR(__xludf.DUMMYFUNCTION("""COMPUTED_VALUE"""),"Macela")</f>
        <v>Macela</v>
      </c>
      <c r="E81" s="49">
        <f>IF(ISTEXT(D81),(1*'ORÇAMENTO'!M71),)</f>
        <v>0</v>
      </c>
      <c r="F81" s="50">
        <f>IF(ISTEXT(D81),(1*'ORÇAMENTO'!X71),)</f>
        <v>335.0631848</v>
      </c>
      <c r="G81" s="48">
        <f>IF(ISTEXT(D81),(1*'ORÇAMENTO'!L71),)</f>
        <v>0.1</v>
      </c>
      <c r="H81" s="51"/>
      <c r="I81" s="52" t="str">
        <f t="shared" si="1"/>
        <v/>
      </c>
      <c r="J81" s="53" t="str">
        <f t="shared" si="2"/>
        <v/>
      </c>
      <c r="K81" s="48"/>
    </row>
    <row r="82" ht="15.75" customHeight="1">
      <c r="A82" s="38" t="str">
        <f t="array" ref="A82">XLOOKUP(D82,'ORÇAMENTO'!$H$2:$H$997,'ORÇAMENTO'!$A$2:$A$997)</f>
        <v>Comercial Geral</v>
      </c>
      <c r="B82" s="54"/>
      <c r="C82" s="40" t="str">
        <f>IFERROR(__xludf.DUMMYFUNCTION("""COMPUTED_VALUE"""),"Hyptis obtecta Benth. ")</f>
        <v>Hyptis obtecta Benth. </v>
      </c>
      <c r="D82" s="40" t="str">
        <f>IFERROR(__xludf.DUMMYFUNCTION("""COMPUTED_VALUE"""),"Macela do Vão")</f>
        <v>Macela do Vão</v>
      </c>
      <c r="E82" s="41">
        <f>IF(ISTEXT(D82),(1*'ORÇAMENTO'!M72),)</f>
        <v>0</v>
      </c>
      <c r="F82" s="42">
        <f>IF(ISTEXT(D82),(1*'ORÇAMENTO'!X72),)</f>
        <v>335.0631848</v>
      </c>
      <c r="G82" s="40">
        <f>IF(ISTEXT(D82),(1*'ORÇAMENTO'!L72),)</f>
        <v>0.1</v>
      </c>
      <c r="H82" s="43"/>
      <c r="I82" s="44" t="str">
        <f t="shared" si="1"/>
        <v/>
      </c>
      <c r="J82" s="45" t="str">
        <f t="shared" si="2"/>
        <v/>
      </c>
      <c r="K82" s="40"/>
    </row>
    <row r="83" ht="15.75" customHeight="1">
      <c r="A83" s="46" t="str">
        <f t="array" ref="A83">XLOOKUP(D83,'ORÇAMENTO'!$H$2:$H$997,'ORÇAMENTO'!$A$2:$A$997)</f>
        <v>Comercial Geral</v>
      </c>
      <c r="B83" s="47">
        <f>IFERROR(__xludf.DUMMYFUNCTION("""COMPUTED_VALUE"""),74.0)</f>
        <v>74</v>
      </c>
      <c r="C83" s="48" t="str">
        <f>IFERROR(__xludf.DUMMYFUNCTION("""COMPUTED_VALUE"""),"Zanthoxylum rhoifolium Lam.")</f>
        <v>Zanthoxylum rhoifolium Lam.</v>
      </c>
      <c r="D83" s="48" t="str">
        <f>IFERROR(__xludf.DUMMYFUNCTION("""COMPUTED_VALUE"""),"Mamica de porca")</f>
        <v>Mamica de porca</v>
      </c>
      <c r="E83" s="49">
        <f>IF(ISTEXT(D83),(1*'ORÇAMENTO'!M73),)</f>
        <v>0</v>
      </c>
      <c r="F83" s="50">
        <f>IF(ISTEXT(D83),(1*'ORÇAMENTO'!X73),)</f>
        <v>184.5952606</v>
      </c>
      <c r="G83" s="48">
        <f>IF(ISTEXT(D83),(1*'ORÇAMENTO'!L73),)</f>
        <v>0.1</v>
      </c>
      <c r="H83" s="51"/>
      <c r="I83" s="52" t="str">
        <f t="shared" si="1"/>
        <v/>
      </c>
      <c r="J83" s="53" t="str">
        <f t="shared" si="2"/>
        <v/>
      </c>
      <c r="K83" s="48"/>
    </row>
    <row r="84" ht="15.75" customHeight="1">
      <c r="A84" s="38" t="str">
        <f t="array" ref="A84">XLOOKUP(D84,'ORÇAMENTO'!$H$2:$H$997,'ORÇAMENTO'!$A$2:$A$997)</f>
        <v>Comercial Geral</v>
      </c>
      <c r="B84" s="54">
        <f>IFERROR(__xludf.DUMMYFUNCTION("""COMPUTED_VALUE"""),75.0)</f>
        <v>75</v>
      </c>
      <c r="C84" s="40" t="str">
        <f>IFERROR(__xludf.DUMMYFUNCTION("""COMPUTED_VALUE"""),"Dilodendron bipinnatum Radlk.")</f>
        <v>Dilodendron bipinnatum Radlk.</v>
      </c>
      <c r="D84" s="40" t="str">
        <f>IFERROR(__xludf.DUMMYFUNCTION("""COMPUTED_VALUE"""),"Mamoninha")</f>
        <v>Mamoninha</v>
      </c>
      <c r="E84" s="41">
        <f>IF(ISTEXT(D84),(1*'ORÇAMENTO'!M74),)</f>
        <v>0</v>
      </c>
      <c r="F84" s="42">
        <f>IF(ISTEXT(D84),(1*'ORÇAMENTO'!X74),)</f>
        <v>147.6738937</v>
      </c>
      <c r="G84" s="40">
        <f>IF(ISTEXT(D84),(1*'ORÇAMENTO'!L74),)</f>
        <v>0.1</v>
      </c>
      <c r="H84" s="43"/>
      <c r="I84" s="44" t="str">
        <f t="shared" si="1"/>
        <v/>
      </c>
      <c r="J84" s="45" t="str">
        <f t="shared" si="2"/>
        <v/>
      </c>
      <c r="K84" s="40"/>
    </row>
    <row r="85" ht="15.75" customHeight="1">
      <c r="A85" s="46" t="str">
        <f t="array" ref="A85">XLOOKUP(D85,'ORÇAMENTO'!$H$2:$H$997,'ORÇAMENTO'!$A$2:$A$997)</f>
        <v>Comercial Geral</v>
      </c>
      <c r="B85" s="47">
        <f>IFERROR(__xludf.DUMMYFUNCTION("""COMPUTED_VALUE"""),76.0)</f>
        <v>76</v>
      </c>
      <c r="C85" s="48" t="str">
        <f>IFERROR(__xludf.DUMMYFUNCTION("""COMPUTED_VALUE"""),"Aldama bracteata (Gardner) E.E.Schill. &amp; Panero")</f>
        <v>Aldama bracteata (Gardner) E.E.Schill. &amp; Panero</v>
      </c>
      <c r="D85" s="48" t="str">
        <f>IFERROR(__xludf.DUMMYFUNCTION("""COMPUTED_VALUE"""),"Margarida")</f>
        <v>Margarida</v>
      </c>
      <c r="E85" s="49">
        <f>IF(ISTEXT(D85),(1*'ORÇAMENTO'!M75),)</f>
        <v>0</v>
      </c>
      <c r="F85" s="50">
        <f>IF(ISTEXT(D85),(1*'ORÇAMENTO'!X75),)</f>
        <v>276.8986779</v>
      </c>
      <c r="G85" s="48">
        <f>IF(ISTEXT(D85),(1*'ORÇAMENTO'!L75),)</f>
        <v>0.1</v>
      </c>
      <c r="H85" s="51"/>
      <c r="I85" s="52" t="str">
        <f t="shared" si="1"/>
        <v/>
      </c>
      <c r="J85" s="53" t="str">
        <f t="shared" si="2"/>
        <v/>
      </c>
      <c r="K85" s="48"/>
    </row>
    <row r="86" ht="15.75" customHeight="1">
      <c r="A86" s="38" t="str">
        <f t="array" ref="A86">XLOOKUP(D86,'ORÇAMENTO'!$H$2:$H$997,'ORÇAMENTO'!$A$2:$A$997)</f>
        <v>Comercial Geral</v>
      </c>
      <c r="B86" s="54">
        <f>IFERROR(__xludf.DUMMYFUNCTION("""COMPUTED_VALUE"""),77.0)</f>
        <v>77</v>
      </c>
      <c r="C86" s="40" t="str">
        <f>IFERROR(__xludf.DUMMYFUNCTION("""COMPUTED_VALUE"""),"Alibertia edulis (Rich.) A.Rich.")</f>
        <v>Alibertia edulis (Rich.) A.Rich.</v>
      </c>
      <c r="D86" s="40" t="str">
        <f>IFERROR(__xludf.DUMMYFUNCTION("""COMPUTED_VALUE"""),"Marmelada")</f>
        <v>Marmelada</v>
      </c>
      <c r="E86" s="41">
        <f>IF(ISTEXT(D86),(1*'ORÇAMENTO'!M76),)</f>
        <v>0</v>
      </c>
      <c r="F86" s="42">
        <f>IF(ISTEXT(D86),(1*'ORÇAMENTO'!X76),)</f>
        <v>276.8986779</v>
      </c>
      <c r="G86" s="40">
        <f>IF(ISTEXT(D86),(1*'ORÇAMENTO'!L76),)</f>
        <v>0.1</v>
      </c>
      <c r="H86" s="43"/>
      <c r="I86" s="44" t="str">
        <f t="shared" si="1"/>
        <v/>
      </c>
      <c r="J86" s="45" t="str">
        <f t="shared" si="2"/>
        <v/>
      </c>
      <c r="K86" s="40"/>
    </row>
    <row r="87" ht="15.75" hidden="1" customHeight="1">
      <c r="A87" s="46" t="str">
        <f t="array" ref="A87">XLOOKUP(D87,'ORÇAMENTO'!$H$2:$H$997,'ORÇAMENTO'!$A$2:$A$997)</f>
        <v>Comercial Geral</v>
      </c>
      <c r="B87" s="47">
        <f>IFERROR(__xludf.DUMMYFUNCTION("""COMPUTED_VALUE"""),80.0)</f>
        <v>80</v>
      </c>
      <c r="C87" s="48" t="str">
        <f>IFERROR(__xludf.DUMMYFUNCTION("""COMPUTED_VALUE"""),"Simarouba versicolor A.St.-Hil.")</f>
        <v>Simarouba versicolor A.St.-Hil.</v>
      </c>
      <c r="D87" s="48" t="str">
        <f>IFERROR(__xludf.DUMMYFUNCTION("""COMPUTED_VALUE"""),"Mata cachorro")</f>
        <v>Mata cachorro</v>
      </c>
      <c r="E87" s="49">
        <f>IF(ISTEXT(D87),(1*'ORÇAMENTO'!M77),)</f>
        <v>0</v>
      </c>
      <c r="F87" s="50">
        <f>IF(ISTEXT(D87),(1*'ORÇAMENTO'!X77),)</f>
        <v>78.192658</v>
      </c>
      <c r="G87" s="48">
        <f>IF(ISTEXT(D87),(1*'ORÇAMENTO'!L77),)</f>
        <v>2</v>
      </c>
      <c r="H87" s="51"/>
      <c r="I87" s="52" t="str">
        <f t="shared" si="1"/>
        <v/>
      </c>
      <c r="J87" s="53" t="str">
        <f t="shared" si="2"/>
        <v/>
      </c>
      <c r="K87" s="48"/>
    </row>
    <row r="88" ht="15.75" customHeight="1">
      <c r="A88" s="38" t="str">
        <f t="array" ref="A88">XLOOKUP(D88,'ORÇAMENTO'!$H$2:$H$997,'ORÇAMENTO'!$A$2:$A$997)</f>
        <v>Comercial Geral</v>
      </c>
      <c r="B88" s="54">
        <f>IFERROR(__xludf.DUMMYFUNCTION("""COMPUTED_VALUE"""),81.0)</f>
        <v>81</v>
      </c>
      <c r="C88" s="40" t="str">
        <f>IFERROR(__xludf.DUMMYFUNCTION("""COMPUTED_VALUE"""),"Aegiphila verticillata Vell.")</f>
        <v>Aegiphila verticillata Vell.</v>
      </c>
      <c r="D88" s="40" t="str">
        <f>IFERROR(__xludf.DUMMYFUNCTION("""COMPUTED_VALUE"""),"Milho de grilo")</f>
        <v>Milho de grilo</v>
      </c>
      <c r="E88" s="41">
        <f>IF(ISTEXT(D88),(1*'ORÇAMENTO'!M78),)</f>
        <v>0</v>
      </c>
      <c r="F88" s="42">
        <f>IF(ISTEXT(D88),(1*'ORÇAMENTO'!X78),)</f>
        <v>276.8986779</v>
      </c>
      <c r="G88" s="40">
        <f>IF(ISTEXT(D88),(1*'ORÇAMENTO'!L78),)</f>
        <v>0.5</v>
      </c>
      <c r="H88" s="43"/>
      <c r="I88" s="44" t="str">
        <f t="shared" si="1"/>
        <v/>
      </c>
      <c r="J88" s="45" t="str">
        <f t="shared" si="2"/>
        <v/>
      </c>
      <c r="K88" s="40"/>
    </row>
    <row r="89" ht="15.75" customHeight="1">
      <c r="A89" s="46" t="str">
        <f t="array" ref="A89">XLOOKUP(D89,'ORÇAMENTO'!$H$2:$H$997,'ORÇAMENTO'!$A$2:$A$997)</f>
        <v>Comercial Geral</v>
      </c>
      <c r="B89" s="47">
        <f>IFERROR(__xludf.DUMMYFUNCTION("""COMPUTED_VALUE"""),82.0)</f>
        <v>82</v>
      </c>
      <c r="C89" s="48" t="str">
        <f>IFERROR(__xludf.DUMMYFUNCTION("""COMPUTED_VALUE"""),"Mimosa claussenii Benth.")</f>
        <v>Mimosa claussenii Benth.</v>
      </c>
      <c r="D89" s="48" t="str">
        <f>IFERROR(__xludf.DUMMYFUNCTION("""COMPUTED_VALUE"""),"Mimosa")</f>
        <v>Mimosa</v>
      </c>
      <c r="E89" s="49">
        <f>IF(ISTEXT(D89),(1*'ORÇAMENTO'!M79),)</f>
        <v>0</v>
      </c>
      <c r="F89" s="50">
        <f>IF(ISTEXT(D89),(1*'ORÇAMENTO'!X79),)</f>
        <v>352.6396078</v>
      </c>
      <c r="G89" s="48">
        <f>IF(ISTEXT(D89),(1*'ORÇAMENTO'!L79),)</f>
        <v>0.5</v>
      </c>
      <c r="H89" s="51"/>
      <c r="I89" s="52" t="str">
        <f t="shared" si="1"/>
        <v/>
      </c>
      <c r="J89" s="53" t="str">
        <f t="shared" si="2"/>
        <v/>
      </c>
      <c r="K89" s="48"/>
    </row>
    <row r="90" ht="15.75" customHeight="1">
      <c r="A90" s="38" t="str">
        <f t="array" ref="A90">XLOOKUP(D90,'ORÇAMENTO'!$H$2:$H$997,'ORÇAMENTO'!$A$2:$A$997)</f>
        <v>Comercial Geral</v>
      </c>
      <c r="B90" s="54">
        <f>IFERROR(__xludf.DUMMYFUNCTION("""COMPUTED_VALUE"""),83.0)</f>
        <v>83</v>
      </c>
      <c r="C90" s="40" t="str">
        <f>IFERROR(__xludf.DUMMYFUNCTION("""COMPUTED_VALUE"""),"Terminalia corrugata (Ducke) Gere &amp; Boatwr.")</f>
        <v>Terminalia corrugata (Ducke) Gere &amp; Boatwr.</v>
      </c>
      <c r="D90" s="40" t="str">
        <f>IFERROR(__xludf.DUMMYFUNCTION("""COMPUTED_VALUE"""),"Mirindiba")</f>
        <v>Mirindiba</v>
      </c>
      <c r="E90" s="41">
        <f>IF(ISTEXT(D90),(1*'ORÇAMENTO'!M80),)</f>
        <v>0</v>
      </c>
      <c r="F90" s="42">
        <f>IF(ISTEXT(D90),(1*'ORÇAMENTO'!X80),)</f>
        <v>111.673668</v>
      </c>
      <c r="G90" s="40">
        <f>IF(ISTEXT(D90),(1*'ORÇAMENTO'!L80),)</f>
        <v>1</v>
      </c>
      <c r="H90" s="43"/>
      <c r="I90" s="44" t="str">
        <f t="shared" si="1"/>
        <v/>
      </c>
      <c r="J90" s="45" t="str">
        <f t="shared" si="2"/>
        <v/>
      </c>
      <c r="K90" s="40"/>
    </row>
    <row r="91" ht="15.75" customHeight="1">
      <c r="A91" s="46" t="str">
        <f t="array" ref="A91">XLOOKUP(D91,'ORÇAMENTO'!$H$2:$H$997,'ORÇAMENTO'!$A$2:$A$997)</f>
        <v>Comercial Geral</v>
      </c>
      <c r="B91" s="47">
        <f>IFERROR(__xludf.DUMMYFUNCTION("""COMPUTED_VALUE"""),87.0)</f>
        <v>87</v>
      </c>
      <c r="C91" s="48" t="str">
        <f>IFERROR(__xludf.DUMMYFUNCTION("""COMPUTED_VALUE"""),"Guazuma ulmifolia Lam.")</f>
        <v>Guazuma ulmifolia Lam.</v>
      </c>
      <c r="D91" s="48" t="str">
        <f>IFERROR(__xludf.DUMMYFUNCTION("""COMPUTED_VALUE"""),"Mutamba")</f>
        <v>Mutamba</v>
      </c>
      <c r="E91" s="49">
        <f>IF(ISTEXT(D91),(1*'ORÇAMENTO'!M81),)</f>
        <v>0</v>
      </c>
      <c r="F91" s="50">
        <f>IF(ISTEXT(D91),(1*'ORÇAMENTO'!X81),)</f>
        <v>243.6810218</v>
      </c>
      <c r="G91" s="48">
        <f>IF(ISTEXT(D91),(1*'ORÇAMENTO'!L81),)</f>
        <v>0.2</v>
      </c>
      <c r="H91" s="51"/>
      <c r="I91" s="52" t="str">
        <f t="shared" si="1"/>
        <v/>
      </c>
      <c r="J91" s="53" t="str">
        <f t="shared" si="2"/>
        <v/>
      </c>
      <c r="K91" s="48"/>
    </row>
    <row r="92" ht="15.75" customHeight="1">
      <c r="A92" s="38" t="str">
        <f t="array" ref="A92">XLOOKUP(D92,'ORÇAMENTO'!$H$2:$H$997,'ORÇAMENTO'!$A$2:$A$997)</f>
        <v>Comercial Geral</v>
      </c>
      <c r="B92" s="54">
        <f>IFERROR(__xludf.DUMMYFUNCTION("""COMPUTED_VALUE"""),89.0)</f>
        <v>89</v>
      </c>
      <c r="C92" s="40" t="str">
        <f>IFERROR(__xludf.DUMMYFUNCTION("""COMPUTED_VALUE"""),"Lafoensia pacari A.St.-Hil.")</f>
        <v>Lafoensia pacari A.St.-Hil.</v>
      </c>
      <c r="D92" s="40" t="str">
        <f>IFERROR(__xludf.DUMMYFUNCTION("""COMPUTED_VALUE"""),"Pacari")</f>
        <v>Pacari</v>
      </c>
      <c r="E92" s="41">
        <f>IF(ISTEXT(D92),(1*'ORÇAMENTO'!M82),)</f>
        <v>0</v>
      </c>
      <c r="F92" s="42">
        <f>IF(ISTEXT(D92),(1*'ORÇAMENTO'!X82),)</f>
        <v>223.37427</v>
      </c>
      <c r="G92" s="40">
        <f>IF(ISTEXT(D92),(1*'ORÇAMENTO'!L82),)</f>
        <v>0.1</v>
      </c>
      <c r="H92" s="43"/>
      <c r="I92" s="44" t="str">
        <f t="shared" si="1"/>
        <v/>
      </c>
      <c r="J92" s="45" t="str">
        <f t="shared" si="2"/>
        <v/>
      </c>
      <c r="K92" s="40"/>
    </row>
    <row r="93" ht="15.75" customHeight="1">
      <c r="A93" s="46" t="str">
        <f t="array" ref="A93">XLOOKUP(D93,'ORÇAMENTO'!$H$2:$H$997,'ORÇAMENTO'!$A$2:$A$997)</f>
        <v>Comercial Geral</v>
      </c>
      <c r="B93" s="47">
        <f>IFERROR(__xludf.DUMMYFUNCTION("""COMPUTED_VALUE"""),117.0)</f>
        <v>117</v>
      </c>
      <c r="C93" s="48" t="str">
        <f>IFERROR(__xludf.DUMMYFUNCTION("""COMPUTED_VALUE"""),"Paepalanthus niger (Moldenke) Trovó")</f>
        <v>Paepalanthus niger (Moldenke) Trovó</v>
      </c>
      <c r="D93" s="48" t="str">
        <f>IFERROR(__xludf.DUMMYFUNCTION("""COMPUTED_VALUE"""),"Palipalan")</f>
        <v>Palipalan</v>
      </c>
      <c r="E93" s="49">
        <f>IF(ISTEXT(D93),(1*'ORÇAMENTO'!M83),)</f>
        <v>0</v>
      </c>
      <c r="F93" s="50">
        <f>IF(ISTEXT(D93),(1*'ORÇAMENTO'!X83),)</f>
        <v>212.2116048</v>
      </c>
      <c r="G93" s="48">
        <f>IF(ISTEXT(D93),(1*'ORÇAMENTO'!L83),)</f>
        <v>0.1</v>
      </c>
      <c r="H93" s="51"/>
      <c r="I93" s="52" t="str">
        <f t="shared" si="1"/>
        <v/>
      </c>
      <c r="J93" s="53" t="str">
        <f t="shared" si="2"/>
        <v/>
      </c>
      <c r="K93" s="48"/>
    </row>
    <row r="94" ht="15.75" customHeight="1">
      <c r="A94" s="38" t="str">
        <f t="array" ref="A94">XLOOKUP(D94,'ORÇAMENTO'!$H$2:$H$997,'ORÇAMENTO'!$A$2:$A$997)</f>
        <v>Comercial Geral</v>
      </c>
      <c r="B94" s="54">
        <f>IFERROR(__xludf.DUMMYFUNCTION("""COMPUTED_VALUE"""),140.0)</f>
        <v>140</v>
      </c>
      <c r="C94" s="40" t="str">
        <f>IFERROR(__xludf.DUMMYFUNCTION("""COMPUTED_VALUE"""),"Callisthene fasciculata Mart")</f>
        <v>Callisthene fasciculata Mart</v>
      </c>
      <c r="D94" s="40" t="str">
        <f>IFERROR(__xludf.DUMMYFUNCTION("""COMPUTED_VALUE"""),"Pau jacaré")</f>
        <v>Pau jacaré</v>
      </c>
      <c r="E94" s="41">
        <f>IF(ISTEXT(D94),(1*'ORÇAMENTO'!M84),)</f>
        <v>0</v>
      </c>
      <c r="F94" s="42">
        <f>IF(ISTEXT(D94),(1*'ORÇAMENTO'!X84),)</f>
        <v>264.473616</v>
      </c>
      <c r="G94" s="40">
        <f>IF(ISTEXT(D94),(1*'ORÇAMENTO'!L84),)</f>
        <v>0.1</v>
      </c>
      <c r="H94" s="43"/>
      <c r="I94" s="44" t="str">
        <f t="shared" si="1"/>
        <v/>
      </c>
      <c r="J94" s="45" t="str">
        <f t="shared" si="2"/>
        <v/>
      </c>
      <c r="K94" s="40"/>
    </row>
    <row r="95" ht="15.75" customHeight="1">
      <c r="A95" s="46" t="str">
        <f t="array" ref="A95">XLOOKUP(D95,'ORÇAMENTO'!$H$2:$H$997,'ORÇAMENTO'!$A$2:$A$997)</f>
        <v>Comercial Geral</v>
      </c>
      <c r="B95" s="47">
        <f>IFERROR(__xludf.DUMMYFUNCTION("""COMPUTED_VALUE"""),94.0)</f>
        <v>94</v>
      </c>
      <c r="C95" s="48" t="str">
        <f>IFERROR(__xludf.DUMMYFUNCTION("""COMPUTED_VALUE"""),"Triplaris gardneriana Wedd.")</f>
        <v>Triplaris gardneriana Wedd.</v>
      </c>
      <c r="D95" s="48" t="str">
        <f>IFERROR(__xludf.DUMMYFUNCTION("""COMPUTED_VALUE"""),"Pau jaú/Pau formiga")</f>
        <v>Pau jaú/Pau formiga</v>
      </c>
      <c r="E95" s="49">
        <f>IF(ISTEXT(D95),(1*'ORÇAMENTO'!M85),)</f>
        <v>0</v>
      </c>
      <c r="F95" s="50">
        <f>IF(ISTEXT(D95),(1*'ORÇAMENTO'!X85),)</f>
        <v>110.7525267</v>
      </c>
      <c r="G95" s="48">
        <f>IF(ISTEXT(D95),(1*'ORÇAMENTO'!L85),)</f>
        <v>0.1</v>
      </c>
      <c r="H95" s="51"/>
      <c r="I95" s="52" t="str">
        <f t="shared" si="1"/>
        <v/>
      </c>
      <c r="J95" s="53" t="str">
        <f t="shared" si="2"/>
        <v/>
      </c>
      <c r="K95" s="48"/>
    </row>
    <row r="96" ht="15.75" customHeight="1">
      <c r="A96" s="38" t="str">
        <f t="array" ref="A96">XLOOKUP(D96,'ORÇAMENTO'!$H$2:$H$997,'ORÇAMENTO'!$A$2:$A$997)</f>
        <v>Comercial Geral</v>
      </c>
      <c r="B96" s="54">
        <f>IFERROR(__xludf.DUMMYFUNCTION("""COMPUTED_VALUE"""),95.0)</f>
        <v>95</v>
      </c>
      <c r="C96" s="40" t="str">
        <f>IFERROR(__xludf.DUMMYFUNCTION("""COMPUTED_VALUE"""),"Kielmeyera coriacea Mart. &amp; Zucc.")</f>
        <v>Kielmeyera coriacea Mart. &amp; Zucc.</v>
      </c>
      <c r="D96" s="40" t="str">
        <f>IFERROR(__xludf.DUMMYFUNCTION("""COMPUTED_VALUE"""),"Pau santo")</f>
        <v>Pau santo</v>
      </c>
      <c r="E96" s="41">
        <f>IF(ISTEXT(D96),(1*'ORÇAMENTO'!M86),)</f>
        <v>0</v>
      </c>
      <c r="F96" s="42">
        <f>IF(ISTEXT(D96),(1*'ORÇAMENTO'!X86),)</f>
        <v>223.37427</v>
      </c>
      <c r="G96" s="40">
        <f>IF(ISTEXT(D96),(1*'ORÇAMENTO'!L86),)</f>
        <v>0.1</v>
      </c>
      <c r="H96" s="43"/>
      <c r="I96" s="44" t="str">
        <f t="shared" si="1"/>
        <v/>
      </c>
      <c r="J96" s="45" t="str">
        <f t="shared" si="2"/>
        <v/>
      </c>
      <c r="K96" s="40"/>
    </row>
    <row r="97" ht="15.75" customHeight="1">
      <c r="A97" s="46" t="str">
        <f t="array" ref="A97">XLOOKUP(D97,'ORÇAMENTO'!$H$2:$H$997,'ORÇAMENTO'!$A$2:$A$997)</f>
        <v>Comercial Geral</v>
      </c>
      <c r="B97" s="47">
        <f>IFERROR(__xludf.DUMMYFUNCTION("""COMPUTED_VALUE"""),96.0)</f>
        <v>96</v>
      </c>
      <c r="C97" s="48" t="str">
        <f>IFERROR(__xludf.DUMMYFUNCTION("""COMPUTED_VALUE"""),"Qualea grandiflora Mart.")</f>
        <v>Qualea grandiflora Mart.</v>
      </c>
      <c r="D97" s="48" t="str">
        <f>IFERROR(__xludf.DUMMYFUNCTION("""COMPUTED_VALUE"""),"Pau terra de folha larga")</f>
        <v>Pau terra de folha larga</v>
      </c>
      <c r="E97" s="49">
        <f>IF(ISTEXT(D97),(1*'ORÇAMENTO'!M87),)</f>
        <v>0</v>
      </c>
      <c r="F97" s="50">
        <f>IF(ISTEXT(D97),(1*'ORÇAMENTO'!X87),)</f>
        <v>268.049124</v>
      </c>
      <c r="G97" s="48">
        <f>IF(ISTEXT(D97),(1*'ORÇAMENTO'!L87),)</f>
        <v>0.1</v>
      </c>
      <c r="H97" s="51"/>
      <c r="I97" s="52" t="str">
        <f t="shared" si="1"/>
        <v/>
      </c>
      <c r="J97" s="53" t="str">
        <f t="shared" si="2"/>
        <v/>
      </c>
      <c r="K97" s="48"/>
    </row>
    <row r="98" ht="15.75" customHeight="1">
      <c r="A98" s="38" t="str">
        <f t="array" ref="A98">XLOOKUP(D98,'ORÇAMENTO'!$H$2:$H$997,'ORÇAMENTO'!$A$2:$A$997)</f>
        <v>Comercial Geral</v>
      </c>
      <c r="B98" s="54">
        <f>IFERROR(__xludf.DUMMYFUNCTION("""COMPUTED_VALUE"""),97.0)</f>
        <v>97</v>
      </c>
      <c r="C98" s="40" t="str">
        <f>IFERROR(__xludf.DUMMYFUNCTION("""COMPUTED_VALUE"""),"Qualea parviflora Mart.")</f>
        <v>Qualea parviflora Mart.</v>
      </c>
      <c r="D98" s="40" t="str">
        <f>IFERROR(__xludf.DUMMYFUNCTION("""COMPUTED_VALUE"""),"Pau terrinha")</f>
        <v>Pau terrinha</v>
      </c>
      <c r="E98" s="41">
        <f>IF(ISTEXT(D98),(1*'ORÇAMENTO'!M88),)</f>
        <v>0</v>
      </c>
      <c r="F98" s="42">
        <f>IF(ISTEXT(D98),(1*'ORÇAMENTO'!X88),)</f>
        <v>335.0631848</v>
      </c>
      <c r="G98" s="40">
        <f>IF(ISTEXT(D98),(1*'ORÇAMENTO'!L88),)</f>
        <v>0.1</v>
      </c>
      <c r="H98" s="43"/>
      <c r="I98" s="44" t="str">
        <f t="shared" si="1"/>
        <v/>
      </c>
      <c r="J98" s="45" t="str">
        <f t="shared" si="2"/>
        <v/>
      </c>
      <c r="K98" s="40"/>
    </row>
    <row r="99" ht="15.75" customHeight="1">
      <c r="A99" s="46" t="str">
        <f t="array" ref="A99">XLOOKUP(D99,'ORÇAMENTO'!$H$2:$H$997,'ORÇAMENTO'!$A$2:$A$997)</f>
        <v>Comercial Geral</v>
      </c>
      <c r="B99" s="47">
        <f>IFERROR(__xludf.DUMMYFUNCTION("""COMPUTED_VALUE"""),98.0)</f>
        <v>98</v>
      </c>
      <c r="C99" s="48" t="str">
        <f>IFERROR(__xludf.DUMMYFUNCTION("""COMPUTED_VALUE"""),"Caryocar brasiliense Cambess.")</f>
        <v>Caryocar brasiliense Cambess.</v>
      </c>
      <c r="D99" s="48" t="str">
        <f>IFERROR(__xludf.DUMMYFUNCTION("""COMPUTED_VALUE"""),"Pequi")</f>
        <v>Pequi</v>
      </c>
      <c r="E99" s="49">
        <f>IF(ISTEXT(D99),(1*'ORÇAMENTO'!M89),)</f>
        <v>0</v>
      </c>
      <c r="F99" s="50">
        <f>IF(ISTEXT(D99),(1*'ORÇAMENTO'!X89),)</f>
        <v>42.04621831</v>
      </c>
      <c r="G99" s="48">
        <f>IF(ISTEXT(D99),(1*'ORÇAMENTO'!L89),)</f>
        <v>1</v>
      </c>
      <c r="H99" s="51"/>
      <c r="I99" s="52" t="str">
        <f t="shared" si="1"/>
        <v/>
      </c>
      <c r="J99" s="53" t="str">
        <f t="shared" si="2"/>
        <v/>
      </c>
      <c r="K99" s="48"/>
    </row>
    <row r="100" ht="15.75" customHeight="1">
      <c r="A100" s="38" t="str">
        <f t="array" ref="A100">XLOOKUP(D100,'ORÇAMENTO'!$H$2:$H$997,'ORÇAMENTO'!$A$2:$A$997)</f>
        <v>Comercial Geral</v>
      </c>
      <c r="B100" s="54">
        <f>IFERROR(__xludf.DUMMYFUNCTION("""COMPUTED_VALUE"""),141.0)</f>
        <v>141</v>
      </c>
      <c r="C100" s="40" t="str">
        <f>IFERROR(__xludf.DUMMYFUNCTION("""COMPUTED_VALUE"""),"Aspidosperma macrocarpon Mart. &amp; Zucc. ")</f>
        <v>Aspidosperma macrocarpon Mart. &amp; Zucc. </v>
      </c>
      <c r="D100" s="40" t="str">
        <f>IFERROR(__xludf.DUMMYFUNCTION("""COMPUTED_VALUE"""),"Peroba do campo")</f>
        <v>Peroba do campo</v>
      </c>
      <c r="E100" s="41">
        <f>IF(ISTEXT(D100),(1*'ORÇAMENTO'!M90),)</f>
        <v>0</v>
      </c>
      <c r="F100" s="42">
        <f>IF(ISTEXT(D100),(1*'ORÇAMENTO'!X90),)</f>
        <v>264.473616</v>
      </c>
      <c r="G100" s="40">
        <f>IF(ISTEXT(D100),(1*'ORÇAMENTO'!L90),)</f>
        <v>1</v>
      </c>
      <c r="H100" s="43"/>
      <c r="I100" s="44" t="str">
        <f t="shared" si="1"/>
        <v/>
      </c>
      <c r="J100" s="45" t="str">
        <f t="shared" si="2"/>
        <v/>
      </c>
      <c r="K100" s="40"/>
    </row>
    <row r="101" ht="15.75" customHeight="1">
      <c r="A101" s="46" t="str">
        <f t="array" ref="A101">XLOOKUP(D101,'ORÇAMENTO'!$H$2:$H$997,'ORÇAMENTO'!$A$2:$A$997)</f>
        <v>Comercial Geral</v>
      </c>
      <c r="B101" s="47">
        <f>IFERROR(__xludf.DUMMYFUNCTION("""COMPUTED_VALUE"""),100.0)</f>
        <v>100</v>
      </c>
      <c r="C101" s="48" t="str">
        <f>IFERROR(__xludf.DUMMYFUNCTION("""COMPUTED_VALUE"""),"Xyris asperula Mart.")</f>
        <v>Xyris asperula Mart.</v>
      </c>
      <c r="D101" s="48" t="str">
        <f>IFERROR(__xludf.DUMMYFUNCTION("""COMPUTED_VALUE"""),"Pireque")</f>
        <v>Pireque</v>
      </c>
      <c r="E101" s="49">
        <f>IF(ISTEXT(D101),(1*'ORÇAMENTO'!M91),)</f>
        <v>0</v>
      </c>
      <c r="F101" s="50">
        <f>IF(ISTEXT(D101),(1*'ORÇAMENTO'!X91),)</f>
        <v>221.5166275</v>
      </c>
      <c r="G101" s="48">
        <f>IF(ISTEXT(D101),(1*'ORÇAMENTO'!L91),)</f>
        <v>0.1</v>
      </c>
      <c r="H101" s="51"/>
      <c r="I101" s="52" t="str">
        <f t="shared" si="1"/>
        <v/>
      </c>
      <c r="J101" s="53" t="str">
        <f t="shared" si="2"/>
        <v/>
      </c>
      <c r="K101" s="48"/>
    </row>
    <row r="102" ht="15.75" customHeight="1">
      <c r="A102" s="38" t="str">
        <f t="array" ref="A102">XLOOKUP(D102,'ORÇAMENTO'!$H$2:$H$997,'ORÇAMENTO'!$A$2:$A$997)</f>
        <v>Comercial Geral</v>
      </c>
      <c r="B102" s="54">
        <f>IFERROR(__xludf.DUMMYFUNCTION("""COMPUTED_VALUE"""),102.0)</f>
        <v>102</v>
      </c>
      <c r="C102" s="40" t="str">
        <f>IFERROR(__xludf.DUMMYFUNCTION("""COMPUTED_VALUE"""),"Croton urucurana Baill.")</f>
        <v>Croton urucurana Baill.</v>
      </c>
      <c r="D102" s="40" t="str">
        <f>IFERROR(__xludf.DUMMYFUNCTION("""COMPUTED_VALUE"""),"Sangra d'água")</f>
        <v>Sangra d'água</v>
      </c>
      <c r="E102" s="41">
        <f>IF(ISTEXT(D102),(1*'ORÇAMENTO'!M92),)</f>
        <v>0</v>
      </c>
      <c r="F102" s="42">
        <f>IF(ISTEXT(D102),(1*'ORÇAMENTO'!X92),)</f>
        <v>461.4823644</v>
      </c>
      <c r="G102" s="40">
        <f>IF(ISTEXT(D102),(1*'ORÇAMENTO'!L92),)</f>
        <v>0.1</v>
      </c>
      <c r="H102" s="43"/>
      <c r="I102" s="44" t="str">
        <f t="shared" si="1"/>
        <v/>
      </c>
      <c r="J102" s="45" t="str">
        <f t="shared" si="2"/>
        <v/>
      </c>
      <c r="K102" s="40"/>
    </row>
    <row r="103" ht="15.75" customHeight="1">
      <c r="A103" s="46" t="str">
        <f t="array" ref="A103">XLOOKUP(D103,'ORÇAMENTO'!$H$2:$H$997,'ORÇAMENTO'!$A$2:$A$997)</f>
        <v>Comercial Geral</v>
      </c>
      <c r="B103" s="47">
        <f>IFERROR(__xludf.DUMMYFUNCTION("""COMPUTED_VALUE"""),105.0)</f>
        <v>105</v>
      </c>
      <c r="C103" s="48" t="str">
        <f>IFERROR(__xludf.DUMMYFUNCTION("""COMPUTED_VALUE"""),"Pterodon emarginatus Vogel")</f>
        <v>Pterodon emarginatus Vogel</v>
      </c>
      <c r="D103" s="48" t="str">
        <f>IFERROR(__xludf.DUMMYFUNCTION("""COMPUTED_VALUE"""),"Sucupira branca")</f>
        <v>Sucupira branca</v>
      </c>
      <c r="E103" s="49">
        <f>IF(ISTEXT(D103),(1*'ORÇAMENTO'!M93),)</f>
        <v>0</v>
      </c>
      <c r="F103" s="50">
        <f>IF(ISTEXT(D103),(1*'ORÇAMENTO'!X93),)</f>
        <v>26.8058984</v>
      </c>
      <c r="G103" s="48">
        <f>IF(ISTEXT(D103),(1*'ORÇAMENTO'!L93),)</f>
        <v>2</v>
      </c>
      <c r="H103" s="51"/>
      <c r="I103" s="52" t="str">
        <f t="shared" si="1"/>
        <v/>
      </c>
      <c r="J103" s="53" t="str">
        <f t="shared" si="2"/>
        <v/>
      </c>
      <c r="K103" s="48"/>
    </row>
    <row r="104" ht="15.75" customHeight="1">
      <c r="A104" s="38" t="str">
        <f t="array" ref="A104">XLOOKUP(D104,'ORÇAMENTO'!$H$2:$H$997,'ORÇAMENTO'!$A$2:$A$997)</f>
        <v>Comercial Geral</v>
      </c>
      <c r="B104" s="54">
        <f>IFERROR(__xludf.DUMMYFUNCTION("""COMPUTED_VALUE"""),106.0)</f>
        <v>106</v>
      </c>
      <c r="C104" s="40" t="str">
        <f>IFERROR(__xludf.DUMMYFUNCTION("""COMPUTED_VALUE"""),"Bowdichia virgilioides Kunth")</f>
        <v>Bowdichia virgilioides Kunth</v>
      </c>
      <c r="D104" s="40" t="str">
        <f>IFERROR(__xludf.DUMMYFUNCTION("""COMPUTED_VALUE"""),"Sucupira preta")</f>
        <v>Sucupira preta</v>
      </c>
      <c r="E104" s="41">
        <f>IF(ISTEXT(D104),(1*'ORÇAMENTO'!M94),)</f>
        <v>0</v>
      </c>
      <c r="F104" s="42">
        <f>IF(ISTEXT(D104),(1*'ORÇAMENTO'!X94),)</f>
        <v>203.0675182</v>
      </c>
      <c r="G104" s="40">
        <f>IF(ISTEXT(D104),(1*'ORÇAMENTO'!L94),)</f>
        <v>0.1</v>
      </c>
      <c r="H104" s="43"/>
      <c r="I104" s="44" t="str">
        <f t="shared" si="1"/>
        <v/>
      </c>
      <c r="J104" s="45" t="str">
        <f t="shared" si="2"/>
        <v/>
      </c>
      <c r="K104" s="40"/>
    </row>
    <row r="105" ht="15.75" customHeight="1">
      <c r="A105" s="46" t="str">
        <f t="array" ref="A105">XLOOKUP(D105,'ORÇAMENTO'!$H$2:$H$997,'ORÇAMENTO'!$A$2:$A$997)</f>
        <v>Comercial Geral</v>
      </c>
      <c r="B105" s="47">
        <f>IFERROR(__xludf.DUMMYFUNCTION("""COMPUTED_VALUE"""),107.0)</f>
        <v>107</v>
      </c>
      <c r="C105" s="48" t="str">
        <f>IFERROR(__xludf.DUMMYFUNCTION("""COMPUTED_VALUE"""),"Enterolobium contortisiliquum (Vell.) Morong")</f>
        <v>Enterolobium contortisiliquum (Vell.) Morong</v>
      </c>
      <c r="D105" s="48" t="str">
        <f>IFERROR(__xludf.DUMMYFUNCTION("""COMPUTED_VALUE"""),"Tamboril da mata")</f>
        <v>Tamboril da mata</v>
      </c>
      <c r="E105" s="49">
        <f>IF(ISTEXT(D105),(1*'ORÇAMENTO'!M95),)</f>
        <v>0</v>
      </c>
      <c r="F105" s="50">
        <f>IF(ISTEXT(D105),(1*'ORÇAMENTO'!X95),)</f>
        <v>101.5337591</v>
      </c>
      <c r="G105" s="48">
        <f>IF(ISTEXT(D105),(1*'ORÇAMENTO'!L95),)</f>
        <v>0.1</v>
      </c>
      <c r="H105" s="51"/>
      <c r="I105" s="52" t="str">
        <f t="shared" si="1"/>
        <v/>
      </c>
      <c r="J105" s="53" t="str">
        <f t="shared" si="2"/>
        <v/>
      </c>
      <c r="K105" s="48"/>
    </row>
    <row r="106" ht="15.75" customHeight="1">
      <c r="A106" s="38" t="str">
        <f t="array" ref="A106">XLOOKUP(D106,'ORÇAMENTO'!$H$2:$H$997,'ORÇAMENTO'!$A$2:$A$997)</f>
        <v>Comercial Geral</v>
      </c>
      <c r="B106" s="54">
        <f>IFERROR(__xludf.DUMMYFUNCTION("""COMPUTED_VALUE"""),108.0)</f>
        <v>108</v>
      </c>
      <c r="C106" s="40" t="str">
        <f>IFERROR(__xludf.DUMMYFUNCTION("""COMPUTED_VALUE"""),"Enterolobium gummiferum (Mart.) J.F.Macbr.")</f>
        <v>Enterolobium gummiferum (Mart.) J.F.Macbr.</v>
      </c>
      <c r="D106" s="40" t="str">
        <f>IFERROR(__xludf.DUMMYFUNCTION("""COMPUTED_VALUE"""),"Tamboril do cerrado")</f>
        <v>Tamboril do cerrado</v>
      </c>
      <c r="E106" s="41">
        <f>IF(ISTEXT(D106),(1*'ORÇAMENTO'!M96),)</f>
        <v>0</v>
      </c>
      <c r="F106" s="42">
        <f>IF(ISTEXT(D106),(1*'ORÇAMENTO'!X96),)</f>
        <v>223.37427</v>
      </c>
      <c r="G106" s="40">
        <f>IF(ISTEXT(D106),(1*'ORÇAMENTO'!L96),)</f>
        <v>0.1</v>
      </c>
      <c r="H106" s="43"/>
      <c r="I106" s="44" t="str">
        <f t="shared" si="1"/>
        <v/>
      </c>
      <c r="J106" s="45" t="str">
        <f t="shared" si="2"/>
        <v/>
      </c>
      <c r="K106" s="40"/>
    </row>
    <row r="107" ht="15.75" customHeight="1">
      <c r="A107" s="46" t="str">
        <f t="array" ref="A107">XLOOKUP(D107,'ORÇAMENTO'!$H$2:$H$997,'ORÇAMENTO'!$A$2:$A$997)</f>
        <v>Comercial Geral</v>
      </c>
      <c r="B107" s="47">
        <f>IFERROR(__xludf.DUMMYFUNCTION("""COMPUTED_VALUE"""),109.0)</f>
        <v>109</v>
      </c>
      <c r="C107" s="48" t="str">
        <f>IFERROR(__xludf.DUMMYFUNCTION("""COMPUTED_VALUE"""),"Tachigali aurea Tul.")</f>
        <v>Tachigali aurea Tul.</v>
      </c>
      <c r="D107" s="48" t="str">
        <f>IFERROR(__xludf.DUMMYFUNCTION("""COMPUTED_VALUE"""),"Tatarena")</f>
        <v>Tatarena</v>
      </c>
      <c r="E107" s="49">
        <f>IF(ISTEXT(D107),(1*'ORÇAMENTO'!M97),)</f>
        <v>0</v>
      </c>
      <c r="F107" s="50">
        <f>IF(ISTEXT(D107),(1*'ORÇAMENTO'!X97),)</f>
        <v>101.5337591</v>
      </c>
      <c r="G107" s="48">
        <f>IF(ISTEXT(D107),(1*'ORÇAMENTO'!L97),)</f>
        <v>0.1</v>
      </c>
      <c r="H107" s="51"/>
      <c r="I107" s="52" t="str">
        <f t="shared" si="1"/>
        <v/>
      </c>
      <c r="J107" s="53" t="str">
        <f t="shared" si="2"/>
        <v/>
      </c>
      <c r="K107" s="48"/>
    </row>
    <row r="108" ht="15.75" customHeight="1">
      <c r="A108" s="38" t="str">
        <f t="array" ref="A108">XLOOKUP(D108,'ORÇAMENTO'!$H$2:$H$997,'ORÇAMENTO'!$A$2:$A$997)</f>
        <v>Comercial Geral</v>
      </c>
      <c r="B108" s="54">
        <f>IFERROR(__xludf.DUMMYFUNCTION("""COMPUTED_VALUE"""),110.0)</f>
        <v>110</v>
      </c>
      <c r="C108" s="40" t="str">
        <f>IFERROR(__xludf.DUMMYFUNCTION("""COMPUTED_VALUE"""),"Magonia pubescens A.St.-Hil.")</f>
        <v>Magonia pubescens A.St.-Hil.</v>
      </c>
      <c r="D108" s="40" t="str">
        <f>IFERROR(__xludf.DUMMYFUNCTION("""COMPUTED_VALUE"""),"Tingui")</f>
        <v>Tingui</v>
      </c>
      <c r="E108" s="41">
        <f>IF(ISTEXT(D108),(1*'ORÇAMENTO'!M98),)</f>
        <v>0</v>
      </c>
      <c r="F108" s="42">
        <f>IF(ISTEXT(D108),(1*'ORÇAMENTO'!X98),)</f>
        <v>33.48101</v>
      </c>
      <c r="G108" s="40">
        <f>IF(ISTEXT(D108),(1*'ORÇAMENTO'!L98),)</f>
        <v>2</v>
      </c>
      <c r="H108" s="43"/>
      <c r="I108" s="44" t="str">
        <f t="shared" si="1"/>
        <v/>
      </c>
      <c r="J108" s="45" t="str">
        <f t="shared" si="2"/>
        <v/>
      </c>
      <c r="K108" s="40"/>
    </row>
    <row r="109" ht="15.75" customHeight="1">
      <c r="A109" s="46" t="str">
        <f t="array" ref="A109">XLOOKUP(D109,'ORÇAMENTO'!$H$2:$H$997,'ORÇAMENTO'!$A$2:$A$997)</f>
        <v>Comercial Geral</v>
      </c>
      <c r="B109" s="47">
        <f>IFERROR(__xludf.DUMMYFUNCTION("""COMPUTED_VALUE"""),111.0)</f>
        <v>111</v>
      </c>
      <c r="C109" s="48" t="str">
        <f>IFERROR(__xludf.DUMMYFUNCTION("""COMPUTED_VALUE"""),"Combretum duarteanum Cambess.")</f>
        <v>Combretum duarteanum Cambess.</v>
      </c>
      <c r="D109" s="48" t="str">
        <f>IFERROR(__xludf.DUMMYFUNCTION("""COMPUTED_VALUE"""),"Vaqueta ")</f>
        <v>Vaqueta </v>
      </c>
      <c r="E109" s="49">
        <f>IF(ISTEXT(D109),(1*'ORÇAMENTO'!M99),)</f>
        <v>0</v>
      </c>
      <c r="F109" s="50">
        <f>IF(ISTEXT(D109),(1*'ORÇAMENTO'!X99),)</f>
        <v>129.2132102</v>
      </c>
      <c r="G109" s="48">
        <f>IF(ISTEXT(D109),(1*'ORÇAMENTO'!L99),)</f>
        <v>0.1</v>
      </c>
      <c r="H109" s="51"/>
      <c r="I109" s="52" t="str">
        <f t="shared" si="1"/>
        <v/>
      </c>
      <c r="J109" s="53" t="str">
        <f t="shared" si="2"/>
        <v/>
      </c>
      <c r="K109" s="48"/>
    </row>
    <row r="110" ht="15.75" customHeight="1">
      <c r="A110" s="38" t="str">
        <f t="array" ref="A110">XLOOKUP(D110,'ORÇAMENTO'!$H$2:$H$997,'ORÇAMENTO'!$A$2:$A$997)</f>
        <v>Comercial Geral</v>
      </c>
      <c r="B110" s="54">
        <f>IFERROR(__xludf.DUMMYFUNCTION("""COMPUTED_VALUE"""),142.0)</f>
        <v>142</v>
      </c>
      <c r="C110" s="40" t="str">
        <f>IFERROR(__xludf.DUMMYFUNCTION("""COMPUTED_VALUE"""),"Plathymenia reticulata Benth.")</f>
        <v>Plathymenia reticulata Benth.</v>
      </c>
      <c r="D110" s="40" t="str">
        <f>IFERROR(__xludf.DUMMYFUNCTION("""COMPUTED_VALUE"""),"Vinhático")</f>
        <v>Vinhático</v>
      </c>
      <c r="E110" s="41">
        <f>IF(ISTEXT(D110),(1*'ORÇAMENTO'!M100),)</f>
        <v>0</v>
      </c>
      <c r="F110" s="42">
        <f>IF(ISTEXT(D110),(1*'ORÇAMENTO'!X100),)</f>
        <v>352.6396078</v>
      </c>
      <c r="G110" s="40">
        <f>IF(ISTEXT(D110),(1*'ORÇAMENTO'!L100),)</f>
        <v>0.1</v>
      </c>
      <c r="H110" s="43"/>
      <c r="I110" s="44" t="str">
        <f t="shared" si="1"/>
        <v/>
      </c>
      <c r="J110" s="45" t="str">
        <f t="shared" si="2"/>
        <v/>
      </c>
      <c r="K110" s="40"/>
    </row>
    <row r="111" ht="15.75" customHeight="1">
      <c r="A111" s="46" t="str">
        <f t="array" ref="A111">XLOOKUP(D111,'ORÇAMENTO'!$H$2:$H$997,'ORÇAMENTO'!$A$2:$A$997)</f>
        <v>#N/A</v>
      </c>
      <c r="B111" s="47"/>
      <c r="C111" s="48"/>
      <c r="D111" s="48"/>
      <c r="E111" s="49" t="str">
        <f>IF(ISTEXT(D111),(1*'ORÇAMENTO'!M101),)</f>
        <v/>
      </c>
      <c r="F111" s="50" t="str">
        <f>IF(ISTEXT(D111),(1*'ORÇAMENTO'!X101),)</f>
        <v/>
      </c>
      <c r="G111" s="48" t="str">
        <f>IF(ISTEXT(D111),(1*'ORÇAMENTO'!L101),)</f>
        <v/>
      </c>
      <c r="H111" s="48"/>
      <c r="I111" s="52" t="str">
        <f t="shared" si="1"/>
        <v/>
      </c>
      <c r="J111" s="53" t="str">
        <f t="shared" si="2"/>
        <v/>
      </c>
      <c r="K111" s="48"/>
    </row>
    <row r="112" ht="15.75" customHeight="1">
      <c r="A112" s="38" t="str">
        <f t="array" ref="A112">XLOOKUP(D112,'ORÇAMENTO'!$H$2:$H$997,'ORÇAMENTO'!$A$2:$A$997)</f>
        <v>#N/A</v>
      </c>
      <c r="B112" s="54"/>
      <c r="C112" s="40"/>
      <c r="D112" s="40"/>
      <c r="E112" s="41" t="str">
        <f>IF(ISTEXT(D112),(1*'ORÇAMENTO'!M102),)</f>
        <v/>
      </c>
      <c r="F112" s="42" t="str">
        <f>IF(ISTEXT(D112),(1*'ORÇAMENTO'!X102),)</f>
        <v/>
      </c>
      <c r="G112" s="40" t="str">
        <f>IF(ISTEXT(D112),(1*'ORÇAMENTO'!L102),)</f>
        <v/>
      </c>
      <c r="H112" s="40"/>
      <c r="I112" s="44" t="str">
        <f t="shared" si="1"/>
        <v/>
      </c>
      <c r="J112" s="45" t="str">
        <f t="shared" si="2"/>
        <v/>
      </c>
      <c r="K112" s="40"/>
    </row>
    <row r="113" ht="15.75" customHeight="1">
      <c r="A113" s="46" t="str">
        <f t="array" ref="A113">XLOOKUP(D113,'ORÇAMENTO'!$H$2:$H$997,'ORÇAMENTO'!$A$2:$A$997)</f>
        <v>#N/A</v>
      </c>
      <c r="B113" s="47"/>
      <c r="C113" s="48"/>
      <c r="D113" s="48"/>
      <c r="E113" s="49" t="str">
        <f>IF(ISTEXT(D113),(1*'ORÇAMENTO'!M103),)</f>
        <v/>
      </c>
      <c r="F113" s="50" t="str">
        <f>IF(ISTEXT(D113),(1*'ORÇAMENTO'!X103),)</f>
        <v/>
      </c>
      <c r="G113" s="48" t="str">
        <f>IF(ISTEXT(D113),(1*'ORÇAMENTO'!L103),)</f>
        <v/>
      </c>
      <c r="H113" s="48"/>
      <c r="I113" s="52" t="str">
        <f t="shared" si="1"/>
        <v/>
      </c>
      <c r="J113" s="53" t="str">
        <f t="shared" si="2"/>
        <v/>
      </c>
      <c r="K113" s="48"/>
    </row>
    <row r="114" ht="15.75" customHeight="1">
      <c r="A114" s="38" t="str">
        <f t="array" ref="A114">XLOOKUP(D114,'ORÇAMENTO'!$H$2:$H$997,'ORÇAMENTO'!$A$2:$A$997)</f>
        <v>#N/A</v>
      </c>
      <c r="B114" s="54"/>
      <c r="C114" s="40"/>
      <c r="D114" s="40"/>
      <c r="E114" s="41" t="str">
        <f>IF(ISTEXT(D114),(1*'ORÇAMENTO'!M104),)</f>
        <v/>
      </c>
      <c r="F114" s="42" t="str">
        <f>IF(ISTEXT(D114),(1*'ORÇAMENTO'!X104),)</f>
        <v/>
      </c>
      <c r="G114" s="40" t="str">
        <f>IF(ISTEXT(D114),(1*'ORÇAMENTO'!L104),)</f>
        <v/>
      </c>
      <c r="H114" s="40"/>
      <c r="I114" s="44" t="str">
        <f t="shared" si="1"/>
        <v/>
      </c>
      <c r="J114" s="45" t="str">
        <f t="shared" si="2"/>
        <v/>
      </c>
      <c r="K114" s="40"/>
    </row>
    <row r="115" ht="15.75" customHeight="1">
      <c r="A115" s="46" t="str">
        <f t="array" ref="A115">XLOOKUP(D115,'ORÇAMENTO'!$H$2:$H$997,'ORÇAMENTO'!$A$2:$A$997)</f>
        <v>#N/A</v>
      </c>
      <c r="B115" s="47"/>
      <c r="C115" s="48"/>
      <c r="D115" s="48"/>
      <c r="E115" s="49" t="str">
        <f>IF(ISTEXT(D115),(1*'ORÇAMENTO'!M105),)</f>
        <v/>
      </c>
      <c r="F115" s="50" t="str">
        <f>IF(ISTEXT(D115),(1*'ORÇAMENTO'!X105),)</f>
        <v/>
      </c>
      <c r="G115" s="48" t="str">
        <f>IF(ISTEXT(D115),(1*'ORÇAMENTO'!L105),)</f>
        <v/>
      </c>
      <c r="H115" s="48"/>
      <c r="I115" s="52" t="str">
        <f t="shared" si="1"/>
        <v/>
      </c>
      <c r="J115" s="53" t="str">
        <f t="shared" si="2"/>
        <v/>
      </c>
      <c r="K115" s="48"/>
    </row>
    <row r="116" ht="15.75" customHeight="1">
      <c r="A116" s="38" t="str">
        <f t="array" ref="A116">XLOOKUP(D116,'ORÇAMENTO'!$H$2:$H$997,'ORÇAMENTO'!$A$2:$A$997)</f>
        <v>#N/A</v>
      </c>
      <c r="B116" s="54"/>
      <c r="C116" s="40"/>
      <c r="D116" s="40"/>
      <c r="E116" s="41" t="str">
        <f>IF(ISTEXT(D116),(1*'ORÇAMENTO'!M106),)</f>
        <v/>
      </c>
      <c r="F116" s="42" t="str">
        <f>IF(ISTEXT(D116),(1*'ORÇAMENTO'!X106),)</f>
        <v/>
      </c>
      <c r="G116" s="40" t="str">
        <f>IF(ISTEXT(D116),(1*'ORÇAMENTO'!L106),)</f>
        <v/>
      </c>
      <c r="H116" s="40"/>
      <c r="I116" s="44" t="str">
        <f t="shared" si="1"/>
        <v/>
      </c>
      <c r="J116" s="45" t="str">
        <f t="shared" si="2"/>
        <v/>
      </c>
      <c r="K116" s="40"/>
    </row>
    <row r="117" ht="15.75" customHeight="1">
      <c r="A117" s="46" t="str">
        <f t="array" ref="A117">XLOOKUP(D117,'ORÇAMENTO'!$H$2:$H$997,'ORÇAMENTO'!$A$2:$A$997)</f>
        <v>#N/A</v>
      </c>
      <c r="B117" s="47"/>
      <c r="C117" s="48"/>
      <c r="D117" s="48"/>
      <c r="E117" s="49" t="str">
        <f>IF(ISTEXT(D117),(1*'ORÇAMENTO'!M107),)</f>
        <v/>
      </c>
      <c r="F117" s="50" t="str">
        <f>IF(ISTEXT(D117),(1*'ORÇAMENTO'!X107),)</f>
        <v/>
      </c>
      <c r="G117" s="48" t="str">
        <f>IF(ISTEXT(D117),(1*'ORÇAMENTO'!L107),)</f>
        <v/>
      </c>
      <c r="H117" s="48"/>
      <c r="I117" s="52" t="str">
        <f t="shared" si="1"/>
        <v/>
      </c>
      <c r="J117" s="53" t="str">
        <f t="shared" si="2"/>
        <v/>
      </c>
      <c r="K117" s="48"/>
    </row>
    <row r="118" ht="15.75" customHeight="1">
      <c r="A118" s="38" t="str">
        <f t="array" ref="A118">XLOOKUP(D118,'ORÇAMENTO'!$H$2:$H$997,'ORÇAMENTO'!$A$2:$A$997)</f>
        <v>#N/A</v>
      </c>
      <c r="B118" s="54"/>
      <c r="C118" s="40"/>
      <c r="D118" s="40"/>
      <c r="E118" s="41" t="str">
        <f>IF(ISTEXT(D118),(1*'ORÇAMENTO'!M108),)</f>
        <v/>
      </c>
      <c r="F118" s="42" t="str">
        <f>IF(ISTEXT(D118),(1*'ORÇAMENTO'!X108),)</f>
        <v/>
      </c>
      <c r="G118" s="40" t="str">
        <f>IF(ISTEXT(D118),(1*'ORÇAMENTO'!L108),)</f>
        <v/>
      </c>
      <c r="H118" s="40"/>
      <c r="I118" s="44" t="str">
        <f t="shared" si="1"/>
        <v/>
      </c>
      <c r="J118" s="45" t="str">
        <f t="shared" si="2"/>
        <v/>
      </c>
      <c r="K118" s="40"/>
    </row>
    <row r="119" ht="15.75" customHeight="1">
      <c r="A119" s="46" t="str">
        <f t="array" ref="A119">XLOOKUP(D119,'ORÇAMENTO'!$H$2:$H$997,'ORÇAMENTO'!$A$2:$A$997)</f>
        <v>#N/A</v>
      </c>
      <c r="B119" s="47"/>
      <c r="C119" s="48"/>
      <c r="D119" s="48"/>
      <c r="E119" s="49" t="str">
        <f>IF(ISTEXT(D119),(1*'ORÇAMENTO'!M109),)</f>
        <v/>
      </c>
      <c r="F119" s="50" t="str">
        <f>IF(ISTEXT(D119),(1*'ORÇAMENTO'!X109),)</f>
        <v/>
      </c>
      <c r="G119" s="48" t="str">
        <f>IF(ISTEXT(D119),(1*'ORÇAMENTO'!L109),)</f>
        <v/>
      </c>
      <c r="H119" s="48"/>
      <c r="I119" s="52" t="str">
        <f t="shared" si="1"/>
        <v/>
      </c>
      <c r="J119" s="53" t="str">
        <f t="shared" si="2"/>
        <v/>
      </c>
      <c r="K119" s="48"/>
    </row>
    <row r="120" ht="15.75" customHeight="1">
      <c r="A120" s="38" t="str">
        <f t="array" ref="A120">XLOOKUP(D120,'ORÇAMENTO'!$H$2:$H$997,'ORÇAMENTO'!$A$2:$A$997)</f>
        <v>#N/A</v>
      </c>
      <c r="B120" s="54"/>
      <c r="C120" s="40"/>
      <c r="D120" s="40"/>
      <c r="E120" s="41" t="str">
        <f>IF(ISTEXT(D120),(1*'ORÇAMENTO'!M110),)</f>
        <v/>
      </c>
      <c r="F120" s="42" t="str">
        <f>IF(ISTEXT(D120),(1*'ORÇAMENTO'!X110),)</f>
        <v/>
      </c>
      <c r="G120" s="40" t="str">
        <f>IF(ISTEXT(D120),(1*'ORÇAMENTO'!L110),)</f>
        <v/>
      </c>
      <c r="H120" s="40"/>
      <c r="I120" s="44" t="str">
        <f t="shared" si="1"/>
        <v/>
      </c>
      <c r="J120" s="45" t="str">
        <f t="shared" si="2"/>
        <v/>
      </c>
      <c r="K120" s="40"/>
    </row>
    <row r="121" ht="15.75" customHeight="1">
      <c r="A121" s="46" t="str">
        <f t="array" ref="A121">XLOOKUP(D121,'ORÇAMENTO'!$H$2:$H$997,'ORÇAMENTO'!$A$2:$A$997)</f>
        <v>#N/A</v>
      </c>
      <c r="B121" s="47"/>
      <c r="C121" s="48"/>
      <c r="D121" s="48"/>
      <c r="E121" s="49" t="str">
        <f>IF(ISTEXT(D121),(1*'ORÇAMENTO'!M111),)</f>
        <v/>
      </c>
      <c r="F121" s="50" t="str">
        <f>IF(ISTEXT(D121),(1*'ORÇAMENTO'!X111),)</f>
        <v/>
      </c>
      <c r="G121" s="48" t="str">
        <f>IF(ISTEXT(D121),(1*'ORÇAMENTO'!L111),)</f>
        <v/>
      </c>
      <c r="H121" s="48"/>
      <c r="I121" s="52" t="str">
        <f t="shared" si="1"/>
        <v/>
      </c>
      <c r="J121" s="53" t="str">
        <f t="shared" si="2"/>
        <v/>
      </c>
      <c r="K121" s="48"/>
    </row>
    <row r="122" ht="15.75" customHeight="1">
      <c r="A122" s="38" t="str">
        <f t="array" ref="A122">XLOOKUP(D122,'ORÇAMENTO'!$H$2:$H$997,'ORÇAMENTO'!$A$2:$A$997)</f>
        <v>#N/A</v>
      </c>
      <c r="B122" s="54"/>
      <c r="C122" s="40"/>
      <c r="D122" s="40"/>
      <c r="E122" s="41" t="str">
        <f>IF(ISTEXT(D122),(1*'ORÇAMENTO'!M112),)</f>
        <v/>
      </c>
      <c r="F122" s="42" t="str">
        <f>IF(ISTEXT(D122),(1*'ORÇAMENTO'!X112),)</f>
        <v/>
      </c>
      <c r="G122" s="40" t="str">
        <f>IF(ISTEXT(D122),(1*'ORÇAMENTO'!L112),)</f>
        <v/>
      </c>
      <c r="H122" s="40"/>
      <c r="I122" s="44" t="str">
        <f t="shared" si="1"/>
        <v/>
      </c>
      <c r="J122" s="45" t="str">
        <f t="shared" si="2"/>
        <v/>
      </c>
      <c r="K122" s="40"/>
    </row>
    <row r="123" ht="15.75" customHeight="1">
      <c r="A123" s="46" t="str">
        <f t="array" ref="A123">XLOOKUP(D123,'ORÇAMENTO'!$H$2:$H$997,'ORÇAMENTO'!$A$2:$A$997)</f>
        <v>#N/A</v>
      </c>
      <c r="B123" s="47"/>
      <c r="C123" s="48"/>
      <c r="D123" s="48"/>
      <c r="E123" s="49" t="str">
        <f>IF(ISTEXT(D123),(1*'ORÇAMENTO'!M113),)</f>
        <v/>
      </c>
      <c r="F123" s="50" t="str">
        <f>IF(ISTEXT(D123),(1*'ORÇAMENTO'!X113),)</f>
        <v/>
      </c>
      <c r="G123" s="48" t="str">
        <f>IF(ISTEXT(D123),(1*'ORÇAMENTO'!L113),)</f>
        <v/>
      </c>
      <c r="H123" s="48"/>
      <c r="I123" s="52" t="str">
        <f t="shared" si="1"/>
        <v/>
      </c>
      <c r="J123" s="53" t="str">
        <f t="shared" si="2"/>
        <v/>
      </c>
      <c r="K123" s="48"/>
    </row>
    <row r="124" ht="15.75" customHeight="1">
      <c r="A124" s="38" t="str">
        <f t="array" ref="A124">XLOOKUP(D124,'ORÇAMENTO'!$H$2:$H$997,'ORÇAMENTO'!$A$2:$A$997)</f>
        <v>#N/A</v>
      </c>
      <c r="B124" s="54"/>
      <c r="C124" s="40"/>
      <c r="D124" s="40"/>
      <c r="E124" s="41" t="str">
        <f>IF(ISTEXT(D124),(1*'ORÇAMENTO'!M114),)</f>
        <v/>
      </c>
      <c r="F124" s="42" t="str">
        <f>IF(ISTEXT(D124),(1*'ORÇAMENTO'!X114),)</f>
        <v/>
      </c>
      <c r="G124" s="40" t="str">
        <f>IF(ISTEXT(D124),(1*'ORÇAMENTO'!L114),)</f>
        <v/>
      </c>
      <c r="H124" s="40"/>
      <c r="I124" s="44" t="str">
        <f t="shared" si="1"/>
        <v/>
      </c>
      <c r="J124" s="45" t="str">
        <f t="shared" si="2"/>
        <v/>
      </c>
      <c r="K124" s="40"/>
    </row>
    <row r="125" ht="15.75" customHeight="1">
      <c r="A125" s="46" t="str">
        <f t="array" ref="A125">XLOOKUP(D125,'ORÇAMENTO'!$H$2:$H$997,'ORÇAMENTO'!$A$2:$A$997)</f>
        <v>#N/A</v>
      </c>
      <c r="B125" s="47"/>
      <c r="C125" s="48"/>
      <c r="D125" s="48"/>
      <c r="E125" s="49" t="str">
        <f>IF(ISTEXT(D125),(1*'ORÇAMENTO'!M115),)</f>
        <v/>
      </c>
      <c r="F125" s="50" t="str">
        <f>IF(ISTEXT(D125),(1*'ORÇAMENTO'!X115),)</f>
        <v/>
      </c>
      <c r="G125" s="48" t="str">
        <f>IF(ISTEXT(D125),(1*'ORÇAMENTO'!L115),)</f>
        <v/>
      </c>
      <c r="H125" s="48"/>
      <c r="I125" s="52" t="str">
        <f t="shared" si="1"/>
        <v/>
      </c>
      <c r="J125" s="53" t="str">
        <f t="shared" si="2"/>
        <v/>
      </c>
      <c r="K125" s="48"/>
    </row>
    <row r="126" ht="15.75" customHeight="1">
      <c r="A126" s="38" t="str">
        <f t="array" ref="A126">XLOOKUP(D126,'ORÇAMENTO'!$H$2:$H$997,'ORÇAMENTO'!$A$2:$A$997)</f>
        <v>#N/A</v>
      </c>
      <c r="B126" s="54"/>
      <c r="C126" s="40"/>
      <c r="D126" s="40"/>
      <c r="E126" s="41" t="str">
        <f>IF(ISTEXT(D126),(1*'ORÇAMENTO'!M116),)</f>
        <v/>
      </c>
      <c r="F126" s="42" t="str">
        <f>IF(ISTEXT(D126),(1*'ORÇAMENTO'!X116),)</f>
        <v/>
      </c>
      <c r="G126" s="40" t="str">
        <f>IF(ISTEXT(D126),(1*'ORÇAMENTO'!L116),)</f>
        <v/>
      </c>
      <c r="H126" s="40"/>
      <c r="I126" s="44" t="str">
        <f t="shared" si="1"/>
        <v/>
      </c>
      <c r="J126" s="45" t="str">
        <f t="shared" si="2"/>
        <v/>
      </c>
      <c r="K126" s="40"/>
    </row>
    <row r="127" ht="15.75" customHeight="1">
      <c r="A127" s="46" t="str">
        <f t="array" ref="A127">XLOOKUP(D127,'ORÇAMENTO'!$H$2:$H$997,'ORÇAMENTO'!$A$2:$A$997)</f>
        <v>#N/A</v>
      </c>
      <c r="B127" s="47"/>
      <c r="C127" s="48"/>
      <c r="D127" s="48"/>
      <c r="E127" s="49" t="str">
        <f>IF(ISTEXT(D127),(1*'ORÇAMENTO'!M117),)</f>
        <v/>
      </c>
      <c r="F127" s="50" t="str">
        <f>IF(ISTEXT(D127),(1*'ORÇAMENTO'!X117),)</f>
        <v/>
      </c>
      <c r="G127" s="48" t="str">
        <f>IF(ISTEXT(D127),(1*'ORÇAMENTO'!L117),)</f>
        <v/>
      </c>
      <c r="H127" s="48"/>
      <c r="I127" s="52" t="str">
        <f t="shared" si="1"/>
        <v/>
      </c>
      <c r="J127" s="53" t="str">
        <f t="shared" si="2"/>
        <v/>
      </c>
      <c r="K127" s="48"/>
    </row>
    <row r="128" ht="15.75" customHeight="1">
      <c r="A128" s="38" t="str">
        <f t="array" ref="A128">XLOOKUP(D128,'ORÇAMENTO'!$H$2:$H$997,'ORÇAMENTO'!$A$2:$A$997)</f>
        <v>#N/A</v>
      </c>
      <c r="B128" s="54"/>
      <c r="C128" s="40"/>
      <c r="D128" s="40"/>
      <c r="E128" s="41" t="str">
        <f>IF(ISTEXT(D128),(1*'ORÇAMENTO'!M118),)</f>
        <v/>
      </c>
      <c r="F128" s="42" t="str">
        <f>IF(ISTEXT(D128),(1*'ORÇAMENTO'!X118),)</f>
        <v/>
      </c>
      <c r="G128" s="40" t="str">
        <f>IF(ISTEXT(D128),(1*'ORÇAMENTO'!L118),)</f>
        <v/>
      </c>
      <c r="H128" s="40"/>
      <c r="I128" s="44" t="str">
        <f t="shared" si="1"/>
        <v/>
      </c>
      <c r="J128" s="45" t="str">
        <f t="shared" si="2"/>
        <v/>
      </c>
      <c r="K128" s="40"/>
    </row>
    <row r="129" ht="15.75" customHeight="1">
      <c r="A129" s="46" t="str">
        <f t="array" ref="A129">XLOOKUP(D129,'ORÇAMENTO'!$H$2:$H$997,'ORÇAMENTO'!$A$2:$A$997)</f>
        <v>#N/A</v>
      </c>
      <c r="B129" s="47"/>
      <c r="C129" s="48"/>
      <c r="D129" s="48"/>
      <c r="E129" s="49" t="str">
        <f>IF(ISTEXT(D129),(1*'ORÇAMENTO'!M119),)</f>
        <v/>
      </c>
      <c r="F129" s="50" t="str">
        <f>IF(ISTEXT(D129),(1*'ORÇAMENTO'!X119),)</f>
        <v/>
      </c>
      <c r="G129" s="48" t="str">
        <f>IF(ISTEXT(D129),(1*'ORÇAMENTO'!L119),)</f>
        <v/>
      </c>
      <c r="H129" s="48"/>
      <c r="I129" s="52" t="str">
        <f t="shared" si="1"/>
        <v/>
      </c>
      <c r="J129" s="53" t="str">
        <f t="shared" si="2"/>
        <v/>
      </c>
      <c r="K129" s="48"/>
    </row>
    <row r="130" ht="15.75" customHeight="1">
      <c r="A130" s="38" t="str">
        <f t="array" ref="A130">XLOOKUP(D130,'ORÇAMENTO'!$H$2:$H$997,'ORÇAMENTO'!$A$2:$A$997)</f>
        <v>#N/A</v>
      </c>
      <c r="B130" s="54"/>
      <c r="C130" s="40"/>
      <c r="D130" s="40"/>
      <c r="E130" s="41" t="str">
        <f>IF(ISTEXT(D130),(1*'ORÇAMENTO'!M120),)</f>
        <v/>
      </c>
      <c r="F130" s="42" t="str">
        <f>IF(ISTEXT(D130),(1*'ORÇAMENTO'!X120),)</f>
        <v/>
      </c>
      <c r="G130" s="40" t="str">
        <f>IF(ISTEXT(D130),(1*'ORÇAMENTO'!L120),)</f>
        <v/>
      </c>
      <c r="H130" s="40"/>
      <c r="I130" s="44" t="str">
        <f t="shared" si="1"/>
        <v/>
      </c>
      <c r="J130" s="45" t="str">
        <f t="shared" si="2"/>
        <v/>
      </c>
      <c r="K130" s="40"/>
    </row>
    <row r="131" ht="15.75" customHeight="1">
      <c r="A131" s="46" t="str">
        <f t="array" ref="A131">XLOOKUP(D131,'ORÇAMENTO'!$H$2:$H$997,'ORÇAMENTO'!$A$2:$A$997)</f>
        <v>#N/A</v>
      </c>
      <c r="B131" s="47"/>
      <c r="C131" s="48"/>
      <c r="D131" s="48"/>
      <c r="E131" s="49" t="str">
        <f>IF(ISTEXT(D131),(1*'ORÇAMENTO'!M121),)</f>
        <v/>
      </c>
      <c r="F131" s="50" t="str">
        <f>IF(ISTEXT(D131),(1*'ORÇAMENTO'!X121),)</f>
        <v/>
      </c>
      <c r="G131" s="48" t="str">
        <f>IF(ISTEXT(D131),(1*'ORÇAMENTO'!L121),)</f>
        <v/>
      </c>
      <c r="H131" s="48"/>
      <c r="I131" s="52" t="str">
        <f t="shared" si="1"/>
        <v/>
      </c>
      <c r="J131" s="53" t="str">
        <f t="shared" si="2"/>
        <v/>
      </c>
      <c r="K131" s="48"/>
    </row>
    <row r="132" ht="15.75" customHeight="1">
      <c r="A132" s="38" t="str">
        <f t="array" ref="A132">XLOOKUP(D132,'ORÇAMENTO'!$H$2:$H$997,'ORÇAMENTO'!$A$2:$A$997)</f>
        <v>#N/A</v>
      </c>
      <c r="B132" s="54"/>
      <c r="C132" s="40"/>
      <c r="D132" s="40"/>
      <c r="E132" s="41" t="str">
        <f>IF(ISTEXT(D132),(1*'ORÇAMENTO'!M122),)</f>
        <v/>
      </c>
      <c r="F132" s="42" t="str">
        <f>IF(ISTEXT(D132),(1*'ORÇAMENTO'!X122),)</f>
        <v/>
      </c>
      <c r="G132" s="40" t="str">
        <f>IF(ISTEXT(D132),(1*'ORÇAMENTO'!L122),)</f>
        <v/>
      </c>
      <c r="H132" s="40"/>
      <c r="I132" s="44" t="str">
        <f t="shared" si="1"/>
        <v/>
      </c>
      <c r="J132" s="45" t="str">
        <f t="shared" si="2"/>
        <v/>
      </c>
      <c r="K132" s="40"/>
    </row>
    <row r="133" ht="15.75" customHeight="1">
      <c r="A133" s="46" t="str">
        <f t="array" ref="A133">XLOOKUP(D133,'ORÇAMENTO'!$H$2:$H$997,'ORÇAMENTO'!$A$2:$A$997)</f>
        <v>#N/A</v>
      </c>
      <c r="B133" s="47"/>
      <c r="C133" s="48"/>
      <c r="D133" s="48"/>
      <c r="E133" s="49" t="str">
        <f>IF(ISTEXT(D133),(1*'ORÇAMENTO'!M123),)</f>
        <v/>
      </c>
      <c r="F133" s="50" t="str">
        <f>IF(ISTEXT(D133),(1*'ORÇAMENTO'!X123),)</f>
        <v/>
      </c>
      <c r="G133" s="48" t="str">
        <f>IF(ISTEXT(D133),(1*'ORÇAMENTO'!L123),)</f>
        <v/>
      </c>
      <c r="H133" s="48"/>
      <c r="I133" s="52" t="str">
        <f t="shared" si="1"/>
        <v/>
      </c>
      <c r="J133" s="53" t="str">
        <f t="shared" si="2"/>
        <v/>
      </c>
      <c r="K133" s="48"/>
    </row>
    <row r="134" ht="15.75" customHeight="1">
      <c r="A134" s="38" t="str">
        <f t="array" ref="A134">XLOOKUP(D134,'ORÇAMENTO'!$H$2:$H$997,'ORÇAMENTO'!$A$2:$A$997)</f>
        <v>#N/A</v>
      </c>
      <c r="B134" s="54"/>
      <c r="C134" s="40"/>
      <c r="D134" s="40"/>
      <c r="E134" s="41" t="str">
        <f>IF(ISTEXT(D134),(1*'ORÇAMENTO'!M124),)</f>
        <v/>
      </c>
      <c r="F134" s="42" t="str">
        <f>IF(ISTEXT(D134),(1*'ORÇAMENTO'!X124),)</f>
        <v/>
      </c>
      <c r="G134" s="40" t="str">
        <f>IF(ISTEXT(D134),(1*'ORÇAMENTO'!L124),)</f>
        <v/>
      </c>
      <c r="H134" s="40"/>
      <c r="I134" s="44" t="str">
        <f t="shared" si="1"/>
        <v/>
      </c>
      <c r="J134" s="45" t="str">
        <f t="shared" si="2"/>
        <v/>
      </c>
      <c r="K134" s="40"/>
    </row>
    <row r="135" ht="15.75" customHeight="1">
      <c r="A135" s="46" t="str">
        <f t="array" ref="A135">XLOOKUP(D135,'ORÇAMENTO'!$H$2:$H$997,'ORÇAMENTO'!$A$2:$A$997)</f>
        <v>#N/A</v>
      </c>
      <c r="B135" s="47"/>
      <c r="C135" s="48"/>
      <c r="D135" s="48"/>
      <c r="E135" s="49" t="str">
        <f>IF(ISTEXT(D135),(1*'ORÇAMENTO'!M125),)</f>
        <v/>
      </c>
      <c r="F135" s="50" t="str">
        <f>IF(ISTEXT(D135),(1*'ORÇAMENTO'!X125),)</f>
        <v/>
      </c>
      <c r="G135" s="48" t="str">
        <f>IF(ISTEXT(D135),(1*'ORÇAMENTO'!L125),)</f>
        <v/>
      </c>
      <c r="H135" s="48"/>
      <c r="I135" s="52" t="str">
        <f t="shared" si="1"/>
        <v/>
      </c>
      <c r="J135" s="53" t="str">
        <f t="shared" si="2"/>
        <v/>
      </c>
      <c r="K135" s="48"/>
    </row>
    <row r="136" ht="15.75" customHeight="1">
      <c r="A136" s="38" t="str">
        <f t="array" ref="A136">XLOOKUP(D136,'ORÇAMENTO'!$H$2:$H$997,'ORÇAMENTO'!$A$2:$A$997)</f>
        <v>#N/A</v>
      </c>
      <c r="B136" s="54"/>
      <c r="C136" s="40"/>
      <c r="D136" s="40"/>
      <c r="E136" s="41" t="str">
        <f>IF(ISTEXT(D136),(1*'ORÇAMENTO'!M126),)</f>
        <v/>
      </c>
      <c r="F136" s="42" t="str">
        <f>IF(ISTEXT(D136),(1*'ORÇAMENTO'!X126),)</f>
        <v/>
      </c>
      <c r="G136" s="40" t="str">
        <f>IF(ISTEXT(D136),(1*'ORÇAMENTO'!L126),)</f>
        <v/>
      </c>
      <c r="H136" s="40"/>
      <c r="I136" s="44" t="str">
        <f t="shared" si="1"/>
        <v/>
      </c>
      <c r="J136" s="45" t="str">
        <f t="shared" si="2"/>
        <v/>
      </c>
      <c r="K136" s="40"/>
    </row>
    <row r="137" ht="15.75" customHeight="1">
      <c r="A137" s="46" t="str">
        <f t="array" ref="A137">XLOOKUP(D137,'ORÇAMENTO'!$H$2:$H$997,'ORÇAMENTO'!$A$2:$A$997)</f>
        <v>#N/A</v>
      </c>
      <c r="B137" s="47"/>
      <c r="C137" s="48"/>
      <c r="D137" s="48"/>
      <c r="E137" s="49" t="str">
        <f>IF(ISTEXT(D137),(1*'ORÇAMENTO'!M127),)</f>
        <v/>
      </c>
      <c r="F137" s="50" t="str">
        <f>IF(ISTEXT(D137),(1*'ORÇAMENTO'!X127),)</f>
        <v/>
      </c>
      <c r="G137" s="48" t="str">
        <f>IF(ISTEXT(D137),(1*'ORÇAMENTO'!L127),)</f>
        <v/>
      </c>
      <c r="H137" s="48"/>
      <c r="I137" s="52" t="str">
        <f t="shared" si="1"/>
        <v/>
      </c>
      <c r="J137" s="53" t="str">
        <f t="shared" si="2"/>
        <v/>
      </c>
      <c r="K137" s="48"/>
    </row>
    <row r="138" ht="15.75" customHeight="1">
      <c r="A138" s="38" t="str">
        <f t="array" ref="A138">XLOOKUP(D138,'ORÇAMENTO'!$H$2:$H$997,'ORÇAMENTO'!$A$2:$A$997)</f>
        <v>#N/A</v>
      </c>
      <c r="B138" s="54"/>
      <c r="C138" s="40"/>
      <c r="D138" s="40"/>
      <c r="E138" s="41" t="str">
        <f>IF(ISTEXT(D138),(1*'ORÇAMENTO'!M128),)</f>
        <v/>
      </c>
      <c r="F138" s="42" t="str">
        <f>IF(ISTEXT(D138),(1*'ORÇAMENTO'!X128),)</f>
        <v/>
      </c>
      <c r="G138" s="40" t="str">
        <f>IF(ISTEXT(D138),(1*'ORÇAMENTO'!L128),)</f>
        <v/>
      </c>
      <c r="H138" s="40"/>
      <c r="I138" s="44" t="str">
        <f t="shared" si="1"/>
        <v/>
      </c>
      <c r="J138" s="45" t="str">
        <f t="shared" si="2"/>
        <v/>
      </c>
      <c r="K138" s="40"/>
    </row>
    <row r="139" ht="15.75" customHeight="1">
      <c r="A139" s="46" t="str">
        <f t="array" ref="A139">XLOOKUP(D139,'ORÇAMENTO'!$H$2:$H$997,'ORÇAMENTO'!$A$2:$A$997)</f>
        <v>#N/A</v>
      </c>
      <c r="B139" s="47"/>
      <c r="C139" s="48"/>
      <c r="D139" s="48"/>
      <c r="E139" s="49" t="str">
        <f>IF(ISTEXT(D139),(1*'ORÇAMENTO'!M129),)</f>
        <v/>
      </c>
      <c r="F139" s="50" t="str">
        <f>IF(ISTEXT(D139),(1*'ORÇAMENTO'!X129),)</f>
        <v/>
      </c>
      <c r="G139" s="48" t="str">
        <f>IF(ISTEXT(D139),(1*'ORÇAMENTO'!L129),)</f>
        <v/>
      </c>
      <c r="H139" s="48"/>
      <c r="I139" s="52" t="str">
        <f t="shared" si="1"/>
        <v/>
      </c>
      <c r="J139" s="53" t="str">
        <f t="shared" si="2"/>
        <v/>
      </c>
      <c r="K139" s="48"/>
    </row>
    <row r="140" ht="15.75" customHeight="1">
      <c r="A140" s="38" t="str">
        <f t="array" ref="A140">XLOOKUP(D140,'ORÇAMENTO'!$H$2:$H$997,'ORÇAMENTO'!$A$2:$A$997)</f>
        <v>#N/A</v>
      </c>
      <c r="B140" s="54"/>
      <c r="C140" s="40"/>
      <c r="D140" s="40"/>
      <c r="E140" s="41" t="str">
        <f>IF(ISTEXT(D140),(1*'ORÇAMENTO'!M130),)</f>
        <v/>
      </c>
      <c r="F140" s="42" t="str">
        <f>IF(ISTEXT(D140),(1*'ORÇAMENTO'!X130),)</f>
        <v/>
      </c>
      <c r="G140" s="40" t="str">
        <f>IF(ISTEXT(D140),(1*'ORÇAMENTO'!L130),)</f>
        <v/>
      </c>
      <c r="H140" s="40"/>
      <c r="I140" s="44" t="str">
        <f t="shared" si="1"/>
        <v/>
      </c>
      <c r="J140" s="45" t="str">
        <f t="shared" si="2"/>
        <v/>
      </c>
      <c r="K140" s="40"/>
    </row>
    <row r="141" ht="15.75" customHeight="1">
      <c r="A141" s="46" t="str">
        <f t="array" ref="A141">XLOOKUP(D141,'ORÇAMENTO'!$H$2:$H$997,'ORÇAMENTO'!$A$2:$A$997)</f>
        <v>#N/A</v>
      </c>
      <c r="B141" s="47"/>
      <c r="C141" s="48"/>
      <c r="D141" s="48"/>
      <c r="E141" s="49" t="str">
        <f>IF(ISTEXT(D141),(1*'ORÇAMENTO'!M131),)</f>
        <v/>
      </c>
      <c r="F141" s="50" t="str">
        <f>IF(ISTEXT(D141),(1*'ORÇAMENTO'!X131),)</f>
        <v/>
      </c>
      <c r="G141" s="48" t="str">
        <f>IF(ISTEXT(D141),(1*'ORÇAMENTO'!L131),)</f>
        <v/>
      </c>
      <c r="H141" s="48"/>
      <c r="I141" s="52" t="str">
        <f t="shared" si="1"/>
        <v/>
      </c>
      <c r="J141" s="53" t="str">
        <f t="shared" si="2"/>
        <v/>
      </c>
      <c r="K141" s="48"/>
    </row>
    <row r="142" ht="15.75" customHeight="1">
      <c r="A142" s="38" t="str">
        <f t="array" ref="A142">XLOOKUP(D142,'ORÇAMENTO'!$H$2:$H$997,'ORÇAMENTO'!$A$2:$A$997)</f>
        <v>#N/A</v>
      </c>
      <c r="B142" s="54"/>
      <c r="C142" s="40"/>
      <c r="D142" s="40"/>
      <c r="E142" s="41" t="str">
        <f>IF(ISTEXT(D142),(1*'ORÇAMENTO'!M132),)</f>
        <v/>
      </c>
      <c r="F142" s="42" t="str">
        <f>IF(ISTEXT(D142),(1*'ORÇAMENTO'!X132),)</f>
        <v/>
      </c>
      <c r="G142" s="40" t="str">
        <f>IF(ISTEXT(D142),(1*'ORÇAMENTO'!L132),)</f>
        <v/>
      </c>
      <c r="H142" s="40"/>
      <c r="I142" s="44" t="str">
        <f t="shared" si="1"/>
        <v/>
      </c>
      <c r="J142" s="45" t="str">
        <f t="shared" si="2"/>
        <v/>
      </c>
      <c r="K142" s="40"/>
    </row>
    <row r="143" ht="15.75" customHeight="1">
      <c r="A143" s="46" t="str">
        <f t="array" ref="A143">XLOOKUP(D143,'ORÇAMENTO'!$H$2:$H$997,'ORÇAMENTO'!$A$2:$A$997)</f>
        <v>#N/A</v>
      </c>
      <c r="B143" s="47"/>
      <c r="C143" s="48"/>
      <c r="D143" s="48"/>
      <c r="E143" s="49" t="str">
        <f>IF(ISTEXT(D143),(1*'ORÇAMENTO'!M133),)</f>
        <v/>
      </c>
      <c r="F143" s="50" t="str">
        <f>IF(ISTEXT(D143),(1*'ORÇAMENTO'!X133),)</f>
        <v/>
      </c>
      <c r="G143" s="48" t="str">
        <f>IF(ISTEXT(D143),(1*'ORÇAMENTO'!L133),)</f>
        <v/>
      </c>
      <c r="H143" s="48"/>
      <c r="I143" s="52" t="str">
        <f t="shared" si="1"/>
        <v/>
      </c>
      <c r="J143" s="53" t="str">
        <f t="shared" si="2"/>
        <v/>
      </c>
      <c r="K143" s="48"/>
    </row>
    <row r="144" ht="15.75" customHeight="1">
      <c r="A144" s="38" t="str">
        <f t="array" ref="A144">XLOOKUP(D144,'ORÇAMENTO'!$H$2:$H$997,'ORÇAMENTO'!$A$2:$A$997)</f>
        <v>#N/A</v>
      </c>
      <c r="B144" s="54"/>
      <c r="C144" s="40"/>
      <c r="D144" s="40"/>
      <c r="E144" s="41" t="str">
        <f>IF(ISTEXT(D144),(1*'ORÇAMENTO'!M134),)</f>
        <v/>
      </c>
      <c r="F144" s="42" t="str">
        <f>IF(ISTEXT(D144),(1*'ORÇAMENTO'!X134),)</f>
        <v/>
      </c>
      <c r="G144" s="40" t="str">
        <f>IF(ISTEXT(D144),(1*'ORÇAMENTO'!L134),)</f>
        <v/>
      </c>
      <c r="H144" s="40"/>
      <c r="I144" s="44" t="str">
        <f t="shared" si="1"/>
        <v/>
      </c>
      <c r="J144" s="45" t="str">
        <f t="shared" si="2"/>
        <v/>
      </c>
      <c r="K144" s="40"/>
    </row>
    <row r="145" ht="15.75" customHeight="1">
      <c r="A145" s="46" t="str">
        <f t="array" ref="A145">XLOOKUP(D145,'ORÇAMENTO'!$H$2:$H$997,'ORÇAMENTO'!$A$2:$A$997)</f>
        <v>#N/A</v>
      </c>
      <c r="B145" s="47"/>
      <c r="C145" s="48"/>
      <c r="D145" s="48"/>
      <c r="E145" s="49" t="str">
        <f>IF(ISTEXT(D145),(1*'ORÇAMENTO'!M135),)</f>
        <v/>
      </c>
      <c r="F145" s="50" t="str">
        <f>IF(ISTEXT(D145),(1*'ORÇAMENTO'!X135),)</f>
        <v/>
      </c>
      <c r="G145" s="48" t="str">
        <f>IF(ISTEXT(D145),(1*'ORÇAMENTO'!L135),)</f>
        <v/>
      </c>
      <c r="H145" s="48"/>
      <c r="I145" s="52" t="str">
        <f t="shared" si="1"/>
        <v/>
      </c>
      <c r="J145" s="53" t="str">
        <f t="shared" si="2"/>
        <v/>
      </c>
      <c r="K145" s="48"/>
    </row>
    <row r="146" ht="15.75" customHeight="1">
      <c r="A146" s="38" t="str">
        <f t="array" ref="A146">XLOOKUP(D146,'ORÇAMENTO'!$H$2:$H$997,'ORÇAMENTO'!$A$2:$A$997)</f>
        <v>#N/A</v>
      </c>
      <c r="B146" s="54"/>
      <c r="C146" s="40"/>
      <c r="D146" s="40"/>
      <c r="E146" s="41" t="str">
        <f>IF(ISTEXT(D146),(1*'ORÇAMENTO'!M136),)</f>
        <v/>
      </c>
      <c r="F146" s="42" t="str">
        <f>IF(ISTEXT(D146),(1*'ORÇAMENTO'!X136),)</f>
        <v/>
      </c>
      <c r="G146" s="40" t="str">
        <f>IF(ISTEXT(D146),(1*'ORÇAMENTO'!L136),)</f>
        <v/>
      </c>
      <c r="H146" s="40"/>
      <c r="I146" s="44" t="str">
        <f t="shared" si="1"/>
        <v/>
      </c>
      <c r="J146" s="45" t="str">
        <f t="shared" si="2"/>
        <v/>
      </c>
      <c r="K146" s="40"/>
    </row>
    <row r="147" ht="15.75" customHeight="1">
      <c r="A147" s="46" t="str">
        <f t="array" ref="A147">XLOOKUP(D147,'ORÇAMENTO'!$H$2:$H$997,'ORÇAMENTO'!$A$2:$A$997)</f>
        <v>#N/A</v>
      </c>
      <c r="B147" s="47"/>
      <c r="C147" s="48"/>
      <c r="D147" s="48"/>
      <c r="E147" s="49" t="str">
        <f>IF(ISTEXT(D147),(1*'ORÇAMENTO'!M137),)</f>
        <v/>
      </c>
      <c r="F147" s="50" t="str">
        <f>IF(ISTEXT(D147),(1*'ORÇAMENTO'!X137),)</f>
        <v/>
      </c>
      <c r="G147" s="48" t="str">
        <f>IF(ISTEXT(D147),(1*'ORÇAMENTO'!L137),)</f>
        <v/>
      </c>
      <c r="H147" s="48"/>
      <c r="I147" s="52" t="str">
        <f t="shared" si="1"/>
        <v/>
      </c>
      <c r="J147" s="53" t="str">
        <f t="shared" si="2"/>
        <v/>
      </c>
      <c r="K147" s="48"/>
    </row>
    <row r="148" ht="15.75" customHeight="1">
      <c r="A148" s="38" t="str">
        <f t="array" ref="A148">XLOOKUP(D148,'ORÇAMENTO'!$H$2:$H$997,'ORÇAMENTO'!$A$2:$A$997)</f>
        <v>#N/A</v>
      </c>
      <c r="B148" s="54"/>
      <c r="C148" s="40"/>
      <c r="D148" s="40"/>
      <c r="E148" s="41" t="str">
        <f>IF(ISTEXT(D148),(1*'ORÇAMENTO'!M138),)</f>
        <v/>
      </c>
      <c r="F148" s="42" t="str">
        <f>IF(ISTEXT(D148),(1*'ORÇAMENTO'!X138),)</f>
        <v/>
      </c>
      <c r="G148" s="40" t="str">
        <f>IF(ISTEXT(D148),(1*'ORÇAMENTO'!L138),)</f>
        <v/>
      </c>
      <c r="H148" s="40"/>
      <c r="I148" s="44" t="str">
        <f t="shared" si="1"/>
        <v/>
      </c>
      <c r="J148" s="45" t="str">
        <f t="shared" si="2"/>
        <v/>
      </c>
      <c r="K148" s="40"/>
    </row>
    <row r="149" ht="15.75" customHeight="1">
      <c r="A149" s="46" t="str">
        <f t="array" ref="A149">XLOOKUP(D149,'ORÇAMENTO'!$H$2:$H$997,'ORÇAMENTO'!$A$2:$A$997)</f>
        <v>#N/A</v>
      </c>
      <c r="B149" s="47"/>
      <c r="C149" s="48"/>
      <c r="D149" s="48"/>
      <c r="E149" s="49" t="str">
        <f>IF(ISTEXT(D149),(1*'ORÇAMENTO'!M139),)</f>
        <v/>
      </c>
      <c r="F149" s="50" t="str">
        <f>IF(ISTEXT(D149),(1*'ORÇAMENTO'!X139),)</f>
        <v/>
      </c>
      <c r="G149" s="48" t="str">
        <f>IF(ISTEXT(D149),(1*'ORÇAMENTO'!L139),)</f>
        <v/>
      </c>
      <c r="H149" s="48"/>
      <c r="I149" s="52" t="str">
        <f t="shared" si="1"/>
        <v/>
      </c>
      <c r="J149" s="53" t="str">
        <f t="shared" si="2"/>
        <v/>
      </c>
      <c r="K149" s="48"/>
    </row>
    <row r="150" ht="15.75" customHeight="1">
      <c r="A150" s="38" t="str">
        <f t="array" ref="A150">XLOOKUP(D150,'ORÇAMENTO'!$H$2:$H$997,'ORÇAMENTO'!$A$2:$A$997)</f>
        <v>#N/A</v>
      </c>
      <c r="B150" s="54"/>
      <c r="C150" s="40"/>
      <c r="D150" s="40"/>
      <c r="E150" s="41" t="str">
        <f>IF(ISTEXT(D150),(1*'ORÇAMENTO'!M140),)</f>
        <v/>
      </c>
      <c r="F150" s="42" t="str">
        <f>IF(ISTEXT(D150),(1*'ORÇAMENTO'!X140),)</f>
        <v/>
      </c>
      <c r="G150" s="40" t="str">
        <f>IF(ISTEXT(D150),(1*'ORÇAMENTO'!L140),)</f>
        <v/>
      </c>
      <c r="H150" s="40"/>
      <c r="I150" s="44" t="str">
        <f t="shared" si="1"/>
        <v/>
      </c>
      <c r="J150" s="45" t="str">
        <f t="shared" si="2"/>
        <v/>
      </c>
      <c r="K150" s="40"/>
    </row>
    <row r="151" ht="15.75" customHeight="1">
      <c r="A151" s="46" t="str">
        <f t="array" ref="A151">XLOOKUP(D151,'ORÇAMENTO'!$H$2:$H$997,'ORÇAMENTO'!$A$2:$A$997)</f>
        <v>#N/A</v>
      </c>
      <c r="B151" s="47"/>
      <c r="C151" s="48"/>
      <c r="D151" s="48"/>
      <c r="E151" s="49" t="str">
        <f>IF(ISTEXT(D151),(1*'ORÇAMENTO'!M141),)</f>
        <v/>
      </c>
      <c r="F151" s="50" t="str">
        <f>IF(ISTEXT(D151),(1*'ORÇAMENTO'!X141),)</f>
        <v/>
      </c>
      <c r="G151" s="48" t="str">
        <f>IF(ISTEXT(D151),(1*'ORÇAMENTO'!L141),)</f>
        <v/>
      </c>
      <c r="H151" s="48"/>
      <c r="I151" s="52" t="str">
        <f t="shared" si="1"/>
        <v/>
      </c>
      <c r="J151" s="53" t="str">
        <f t="shared" si="2"/>
        <v/>
      </c>
      <c r="K151" s="48"/>
    </row>
    <row r="152" ht="15.75" customHeight="1">
      <c r="A152" s="38" t="str">
        <f t="array" ref="A152">XLOOKUP(D152,'ORÇAMENTO'!$H$2:$H$997,'ORÇAMENTO'!$A$2:$A$997)</f>
        <v>#N/A</v>
      </c>
      <c r="B152" s="54"/>
      <c r="C152" s="40"/>
      <c r="D152" s="40"/>
      <c r="E152" s="41" t="str">
        <f>IF(ISTEXT(D152),(1*'ORÇAMENTO'!M142),)</f>
        <v/>
      </c>
      <c r="F152" s="42" t="str">
        <f>IF(ISTEXT(D152),(1*'ORÇAMENTO'!X142),)</f>
        <v/>
      </c>
      <c r="G152" s="40" t="str">
        <f>IF(ISTEXT(D152),(1*'ORÇAMENTO'!L142),)</f>
        <v/>
      </c>
      <c r="H152" s="40"/>
      <c r="I152" s="44" t="str">
        <f t="shared" si="1"/>
        <v/>
      </c>
      <c r="J152" s="45" t="str">
        <f t="shared" si="2"/>
        <v/>
      </c>
      <c r="K152" s="40"/>
    </row>
    <row r="153" ht="15.75" customHeight="1">
      <c r="A153" s="56"/>
      <c r="B153" s="57"/>
      <c r="C153" s="56"/>
      <c r="D153" s="56"/>
      <c r="E153" s="56"/>
      <c r="F153" s="56"/>
      <c r="G153" s="56"/>
      <c r="H153" s="56"/>
      <c r="I153" s="56"/>
      <c r="J153" s="56"/>
      <c r="K153" s="56"/>
    </row>
    <row r="154" ht="15.75" customHeight="1">
      <c r="A154" s="58"/>
      <c r="B154" s="59"/>
      <c r="C154" s="58"/>
      <c r="D154" s="58"/>
      <c r="E154" s="58"/>
      <c r="F154" s="58"/>
      <c r="G154" s="58"/>
      <c r="H154" s="58"/>
      <c r="I154" s="58"/>
      <c r="J154" s="58"/>
      <c r="K154" s="58"/>
    </row>
    <row r="155" ht="15.75" customHeight="1">
      <c r="A155" s="56"/>
      <c r="B155" s="57"/>
      <c r="C155" s="56"/>
      <c r="D155" s="56"/>
      <c r="E155" s="56"/>
      <c r="F155" s="56"/>
      <c r="G155" s="56"/>
      <c r="H155" s="56"/>
      <c r="I155" s="56"/>
      <c r="J155" s="56"/>
      <c r="K155" s="56"/>
    </row>
    <row r="156" ht="15.75" customHeight="1">
      <c r="A156" s="58"/>
      <c r="B156" s="59"/>
      <c r="C156" s="58"/>
      <c r="D156" s="58"/>
      <c r="E156" s="58"/>
      <c r="F156" s="58"/>
      <c r="G156" s="58"/>
      <c r="H156" s="58"/>
      <c r="I156" s="58"/>
      <c r="J156" s="58"/>
      <c r="K156" s="58"/>
    </row>
    <row r="157" ht="15.75" customHeight="1">
      <c r="A157" s="56"/>
      <c r="B157" s="57"/>
      <c r="C157" s="56"/>
      <c r="D157" s="56"/>
      <c r="E157" s="56"/>
      <c r="F157" s="56"/>
      <c r="G157" s="56"/>
      <c r="H157" s="56"/>
      <c r="I157" s="56"/>
      <c r="J157" s="56"/>
      <c r="K157" s="56"/>
    </row>
    <row r="158" ht="15.75" customHeight="1">
      <c r="A158" s="58"/>
      <c r="B158" s="59"/>
      <c r="C158" s="58"/>
      <c r="D158" s="58"/>
      <c r="E158" s="58"/>
      <c r="F158" s="58"/>
      <c r="G158" s="58"/>
      <c r="H158" s="58"/>
      <c r="I158" s="58"/>
      <c r="J158" s="58"/>
      <c r="K158" s="58"/>
    </row>
    <row r="159" ht="15.75" customHeight="1">
      <c r="A159" s="56"/>
      <c r="B159" s="57"/>
      <c r="C159" s="56"/>
      <c r="D159" s="56"/>
      <c r="E159" s="56"/>
      <c r="F159" s="56"/>
      <c r="G159" s="56"/>
      <c r="H159" s="56"/>
      <c r="I159" s="56"/>
      <c r="J159" s="56"/>
      <c r="K159" s="56"/>
    </row>
    <row r="160" ht="15.75" customHeight="1">
      <c r="A160" s="58"/>
      <c r="B160" s="59"/>
      <c r="C160" s="58"/>
      <c r="D160" s="58"/>
      <c r="E160" s="58"/>
      <c r="F160" s="58"/>
      <c r="G160" s="58"/>
      <c r="H160" s="58"/>
      <c r="I160" s="58"/>
      <c r="J160" s="58"/>
      <c r="K160" s="58"/>
    </row>
    <row r="161" ht="15.75" customHeight="1">
      <c r="A161" s="56"/>
      <c r="B161" s="57"/>
      <c r="C161" s="56"/>
      <c r="D161" s="56"/>
      <c r="E161" s="56"/>
      <c r="F161" s="56"/>
      <c r="G161" s="56"/>
      <c r="H161" s="56"/>
      <c r="I161" s="56"/>
      <c r="J161" s="56"/>
      <c r="K161" s="56"/>
    </row>
    <row r="162" ht="15.75" customHeight="1">
      <c r="A162" s="58"/>
      <c r="B162" s="59"/>
      <c r="C162" s="58"/>
      <c r="D162" s="58"/>
      <c r="E162" s="58"/>
      <c r="F162" s="58"/>
      <c r="G162" s="58"/>
      <c r="H162" s="58"/>
      <c r="I162" s="58"/>
      <c r="J162" s="58"/>
      <c r="K162" s="58"/>
    </row>
    <row r="163" ht="15.75" customHeight="1">
      <c r="A163" s="56"/>
      <c r="B163" s="57"/>
      <c r="C163" s="56"/>
      <c r="D163" s="56"/>
      <c r="E163" s="56"/>
      <c r="F163" s="56"/>
      <c r="G163" s="56"/>
      <c r="H163" s="56"/>
      <c r="I163" s="56"/>
      <c r="J163" s="56"/>
      <c r="K163" s="56"/>
    </row>
    <row r="164" ht="15.75" customHeight="1">
      <c r="A164" s="58"/>
      <c r="B164" s="59"/>
      <c r="C164" s="58"/>
      <c r="D164" s="58"/>
      <c r="E164" s="58"/>
      <c r="F164" s="58"/>
      <c r="G164" s="58"/>
      <c r="H164" s="58"/>
      <c r="I164" s="58"/>
      <c r="J164" s="58"/>
      <c r="K164" s="58"/>
    </row>
    <row r="165" ht="15.75" customHeight="1">
      <c r="A165" s="56"/>
      <c r="B165" s="57"/>
      <c r="C165" s="56"/>
      <c r="D165" s="56"/>
      <c r="E165" s="56"/>
      <c r="F165" s="56"/>
      <c r="G165" s="56"/>
      <c r="H165" s="56"/>
      <c r="I165" s="56"/>
      <c r="J165" s="56"/>
      <c r="K165" s="56"/>
    </row>
    <row r="166" ht="15.75" customHeight="1">
      <c r="A166" s="58"/>
      <c r="B166" s="59"/>
      <c r="C166" s="58"/>
      <c r="D166" s="58"/>
      <c r="E166" s="58"/>
      <c r="F166" s="58"/>
      <c r="G166" s="58"/>
      <c r="H166" s="58"/>
      <c r="I166" s="58"/>
      <c r="J166" s="58"/>
      <c r="K166" s="58"/>
    </row>
    <row r="167" ht="15.75" customHeight="1">
      <c r="A167" s="56"/>
      <c r="B167" s="57"/>
      <c r="C167" s="56"/>
      <c r="D167" s="56"/>
      <c r="E167" s="56"/>
      <c r="F167" s="56"/>
      <c r="G167" s="56"/>
      <c r="H167" s="56"/>
      <c r="I167" s="56"/>
      <c r="J167" s="56"/>
      <c r="K167" s="56"/>
    </row>
    <row r="168" ht="15.75" customHeight="1">
      <c r="A168" s="58"/>
      <c r="B168" s="59"/>
      <c r="C168" s="58"/>
      <c r="D168" s="58"/>
      <c r="E168" s="58"/>
      <c r="F168" s="58"/>
      <c r="G168" s="58"/>
      <c r="H168" s="58"/>
      <c r="I168" s="58"/>
      <c r="J168" s="58"/>
      <c r="K168" s="58"/>
    </row>
    <row r="169" ht="15.75" customHeight="1">
      <c r="A169" s="56"/>
      <c r="B169" s="57"/>
      <c r="C169" s="56"/>
      <c r="D169" s="56"/>
      <c r="E169" s="56"/>
      <c r="F169" s="56"/>
      <c r="G169" s="56"/>
      <c r="H169" s="56"/>
      <c r="I169" s="56"/>
      <c r="J169" s="56"/>
      <c r="K169" s="56"/>
    </row>
    <row r="170" ht="15.75" customHeight="1">
      <c r="A170" s="58"/>
      <c r="B170" s="59"/>
      <c r="C170" s="58"/>
      <c r="D170" s="58"/>
      <c r="E170" s="58"/>
      <c r="F170" s="58"/>
      <c r="G170" s="58"/>
      <c r="H170" s="58"/>
      <c r="I170" s="58"/>
      <c r="J170" s="58"/>
      <c r="K170" s="58"/>
    </row>
    <row r="171" ht="15.75" customHeight="1">
      <c r="A171" s="56"/>
      <c r="B171" s="57"/>
      <c r="C171" s="56"/>
      <c r="D171" s="56"/>
      <c r="E171" s="56"/>
      <c r="F171" s="56"/>
      <c r="G171" s="56"/>
      <c r="H171" s="56"/>
      <c r="I171" s="56"/>
      <c r="J171" s="56"/>
      <c r="K171" s="56"/>
    </row>
    <row r="172" ht="15.75" customHeight="1">
      <c r="A172" s="58"/>
      <c r="B172" s="59"/>
      <c r="C172" s="58"/>
      <c r="D172" s="58"/>
      <c r="E172" s="58"/>
      <c r="F172" s="58"/>
      <c r="G172" s="58"/>
      <c r="H172" s="58"/>
      <c r="I172" s="58"/>
      <c r="J172" s="58"/>
      <c r="K172" s="58"/>
    </row>
    <row r="173" ht="15.75" customHeight="1">
      <c r="A173" s="56"/>
      <c r="B173" s="57"/>
      <c r="C173" s="56"/>
      <c r="D173" s="56"/>
      <c r="E173" s="56"/>
      <c r="F173" s="56"/>
      <c r="G173" s="56"/>
      <c r="H173" s="56"/>
      <c r="I173" s="56"/>
      <c r="J173" s="56"/>
      <c r="K173" s="56"/>
    </row>
    <row r="174" ht="15.75" customHeight="1">
      <c r="A174" s="58"/>
      <c r="B174" s="59"/>
      <c r="C174" s="58"/>
      <c r="D174" s="58"/>
      <c r="E174" s="58"/>
      <c r="F174" s="58"/>
      <c r="G174" s="58"/>
      <c r="H174" s="58"/>
      <c r="I174" s="58"/>
      <c r="J174" s="58"/>
      <c r="K174" s="58"/>
    </row>
    <row r="175" ht="15.75" customHeight="1">
      <c r="A175" s="56"/>
      <c r="B175" s="57"/>
      <c r="C175" s="56"/>
      <c r="D175" s="56"/>
      <c r="E175" s="56"/>
      <c r="F175" s="56"/>
      <c r="G175" s="56"/>
      <c r="H175" s="56"/>
      <c r="I175" s="56"/>
      <c r="J175" s="56"/>
      <c r="K175" s="56"/>
    </row>
    <row r="176" ht="15.75" customHeight="1">
      <c r="A176" s="58"/>
      <c r="B176" s="59"/>
      <c r="C176" s="58"/>
      <c r="D176" s="58"/>
      <c r="E176" s="58"/>
      <c r="F176" s="58"/>
      <c r="G176" s="58"/>
      <c r="H176" s="58"/>
      <c r="I176" s="58"/>
      <c r="J176" s="58"/>
      <c r="K176" s="58"/>
    </row>
    <row r="177" ht="15.75" customHeight="1">
      <c r="A177" s="56"/>
      <c r="B177" s="57"/>
      <c r="C177" s="56"/>
      <c r="D177" s="56"/>
      <c r="E177" s="56"/>
      <c r="F177" s="56"/>
      <c r="G177" s="56"/>
      <c r="H177" s="56"/>
      <c r="I177" s="56"/>
      <c r="J177" s="56"/>
      <c r="K177" s="56"/>
    </row>
    <row r="178" ht="15.75" customHeight="1">
      <c r="A178" s="58"/>
      <c r="B178" s="59"/>
      <c r="C178" s="58"/>
      <c r="D178" s="58"/>
      <c r="E178" s="58"/>
      <c r="F178" s="58"/>
      <c r="G178" s="58"/>
      <c r="H178" s="58"/>
      <c r="I178" s="58"/>
      <c r="J178" s="58"/>
      <c r="K178" s="58"/>
    </row>
    <row r="179" ht="15.75" customHeight="1">
      <c r="A179" s="56"/>
      <c r="B179" s="57"/>
      <c r="C179" s="56"/>
      <c r="D179" s="56"/>
      <c r="E179" s="56"/>
      <c r="F179" s="56"/>
      <c r="G179" s="56"/>
      <c r="H179" s="56"/>
      <c r="I179" s="56"/>
      <c r="J179" s="56"/>
      <c r="K179" s="56"/>
    </row>
    <row r="180" ht="15.75" customHeight="1">
      <c r="A180" s="58"/>
      <c r="B180" s="59"/>
      <c r="C180" s="58"/>
      <c r="D180" s="58"/>
      <c r="E180" s="58"/>
      <c r="F180" s="58"/>
      <c r="G180" s="58"/>
      <c r="H180" s="58"/>
      <c r="I180" s="58"/>
      <c r="J180" s="58"/>
      <c r="K180" s="58"/>
    </row>
    <row r="181" ht="15.75" customHeight="1">
      <c r="A181" s="56"/>
      <c r="B181" s="57"/>
      <c r="C181" s="56"/>
      <c r="D181" s="56"/>
      <c r="E181" s="56"/>
      <c r="F181" s="56"/>
      <c r="G181" s="56"/>
      <c r="H181" s="56"/>
      <c r="I181" s="56"/>
      <c r="J181" s="56"/>
      <c r="K181" s="56"/>
    </row>
    <row r="182" ht="15.75" customHeight="1">
      <c r="A182" s="58"/>
      <c r="B182" s="59"/>
      <c r="C182" s="58"/>
      <c r="D182" s="58"/>
      <c r="E182" s="58"/>
      <c r="F182" s="58"/>
      <c r="G182" s="58"/>
      <c r="H182" s="58"/>
      <c r="I182" s="58"/>
      <c r="J182" s="58"/>
      <c r="K182" s="58"/>
    </row>
    <row r="183" ht="15.75" customHeight="1">
      <c r="A183" s="56"/>
      <c r="B183" s="57"/>
      <c r="C183" s="56"/>
      <c r="D183" s="56"/>
      <c r="E183" s="56"/>
      <c r="F183" s="56"/>
      <c r="G183" s="56"/>
      <c r="H183" s="56"/>
      <c r="I183" s="56"/>
      <c r="J183" s="56"/>
      <c r="K183" s="56"/>
    </row>
    <row r="184" ht="15.75" customHeight="1">
      <c r="A184" s="58"/>
      <c r="B184" s="59"/>
      <c r="C184" s="58"/>
      <c r="D184" s="58"/>
      <c r="E184" s="58"/>
      <c r="F184" s="58"/>
      <c r="G184" s="58"/>
      <c r="H184" s="58"/>
      <c r="I184" s="58"/>
      <c r="J184" s="58"/>
      <c r="K184" s="58"/>
    </row>
    <row r="185" ht="15.75" customHeight="1">
      <c r="A185" s="56"/>
      <c r="B185" s="57"/>
      <c r="C185" s="56"/>
      <c r="D185" s="56"/>
      <c r="E185" s="56"/>
      <c r="F185" s="56"/>
      <c r="G185" s="56"/>
      <c r="H185" s="56"/>
      <c r="I185" s="56"/>
      <c r="J185" s="56"/>
      <c r="K185" s="56"/>
    </row>
    <row r="186" ht="15.75" customHeight="1">
      <c r="A186" s="58"/>
      <c r="B186" s="59"/>
      <c r="C186" s="58"/>
      <c r="D186" s="58"/>
      <c r="E186" s="58"/>
      <c r="F186" s="58"/>
      <c r="G186" s="58"/>
      <c r="H186" s="58"/>
      <c r="I186" s="58"/>
      <c r="J186" s="58"/>
      <c r="K186" s="58"/>
    </row>
    <row r="187" ht="15.75" customHeight="1">
      <c r="A187" s="56"/>
      <c r="B187" s="57"/>
      <c r="C187" s="56"/>
      <c r="D187" s="56"/>
      <c r="E187" s="56"/>
      <c r="F187" s="56"/>
      <c r="G187" s="56"/>
      <c r="H187" s="56"/>
      <c r="I187" s="56"/>
      <c r="J187" s="56"/>
      <c r="K187" s="56"/>
    </row>
    <row r="188" ht="15.75" customHeight="1">
      <c r="A188" s="58"/>
      <c r="B188" s="59"/>
      <c r="C188" s="58"/>
      <c r="D188" s="58"/>
      <c r="E188" s="58"/>
      <c r="F188" s="58"/>
      <c r="G188" s="58"/>
      <c r="H188" s="58"/>
      <c r="I188" s="58"/>
      <c r="J188" s="58"/>
      <c r="K188" s="58"/>
    </row>
    <row r="189" ht="15.75" customHeight="1">
      <c r="A189" s="56"/>
      <c r="B189" s="57"/>
      <c r="C189" s="56"/>
      <c r="D189" s="56"/>
      <c r="E189" s="56"/>
      <c r="F189" s="56"/>
      <c r="G189" s="56"/>
      <c r="H189" s="56"/>
      <c r="I189" s="56"/>
      <c r="J189" s="56"/>
      <c r="K189" s="56"/>
    </row>
    <row r="190" ht="15.75" customHeight="1">
      <c r="A190" s="58"/>
      <c r="B190" s="59"/>
      <c r="C190" s="58"/>
      <c r="D190" s="58"/>
      <c r="E190" s="58"/>
      <c r="F190" s="58"/>
      <c r="G190" s="58"/>
      <c r="H190" s="58"/>
      <c r="I190" s="58"/>
      <c r="J190" s="58"/>
      <c r="K190" s="58"/>
    </row>
    <row r="191" ht="15.75" customHeight="1">
      <c r="A191" s="56"/>
      <c r="B191" s="57"/>
      <c r="C191" s="56"/>
      <c r="D191" s="56"/>
      <c r="E191" s="56"/>
      <c r="F191" s="56"/>
      <c r="G191" s="56"/>
      <c r="H191" s="56"/>
      <c r="I191" s="56"/>
      <c r="J191" s="56"/>
      <c r="K191" s="56"/>
    </row>
    <row r="192" ht="15.75" customHeight="1">
      <c r="A192" s="58"/>
      <c r="B192" s="59"/>
      <c r="C192" s="58"/>
      <c r="D192" s="58"/>
      <c r="E192" s="58"/>
      <c r="F192" s="58"/>
      <c r="G192" s="58"/>
      <c r="H192" s="58"/>
      <c r="I192" s="58"/>
      <c r="J192" s="58"/>
      <c r="K192" s="58"/>
    </row>
    <row r="193" ht="15.75" customHeight="1">
      <c r="A193" s="56"/>
      <c r="B193" s="57"/>
      <c r="C193" s="56"/>
      <c r="D193" s="56"/>
      <c r="E193" s="56"/>
      <c r="F193" s="56"/>
      <c r="G193" s="56"/>
      <c r="H193" s="56"/>
      <c r="I193" s="56"/>
      <c r="J193" s="56"/>
      <c r="K193" s="56"/>
    </row>
    <row r="194" ht="15.75" customHeight="1">
      <c r="A194" s="58"/>
      <c r="B194" s="59"/>
      <c r="C194" s="58"/>
      <c r="D194" s="58"/>
      <c r="E194" s="58"/>
      <c r="F194" s="58"/>
      <c r="G194" s="58"/>
      <c r="H194" s="58"/>
      <c r="I194" s="58"/>
      <c r="J194" s="58"/>
      <c r="K194" s="58"/>
    </row>
    <row r="195" ht="15.75" customHeight="1">
      <c r="A195" s="56"/>
      <c r="B195" s="57"/>
      <c r="C195" s="56"/>
      <c r="D195" s="56"/>
      <c r="E195" s="56"/>
      <c r="F195" s="56"/>
      <c r="G195" s="56"/>
      <c r="H195" s="56"/>
      <c r="I195" s="56"/>
      <c r="J195" s="56"/>
      <c r="K195" s="56"/>
    </row>
    <row r="196" ht="15.75" customHeight="1">
      <c r="A196" s="58"/>
      <c r="B196" s="59"/>
      <c r="C196" s="58"/>
      <c r="D196" s="58"/>
      <c r="E196" s="58"/>
      <c r="F196" s="58"/>
      <c r="G196" s="58"/>
      <c r="H196" s="58"/>
      <c r="I196" s="58"/>
      <c r="J196" s="58"/>
      <c r="K196" s="58"/>
    </row>
    <row r="197" ht="15.75" customHeight="1">
      <c r="A197" s="56"/>
      <c r="B197" s="57"/>
      <c r="C197" s="56"/>
      <c r="D197" s="56"/>
      <c r="E197" s="56"/>
      <c r="F197" s="56"/>
      <c r="G197" s="56"/>
      <c r="H197" s="56"/>
      <c r="I197" s="56"/>
      <c r="J197" s="56"/>
      <c r="K197" s="56"/>
    </row>
    <row r="198" ht="15.75" customHeight="1">
      <c r="A198" s="58"/>
      <c r="B198" s="59"/>
      <c r="C198" s="58"/>
      <c r="D198" s="58"/>
      <c r="E198" s="58"/>
      <c r="F198" s="58"/>
      <c r="G198" s="58"/>
      <c r="H198" s="58"/>
      <c r="I198" s="58"/>
      <c r="J198" s="58"/>
      <c r="K198" s="58"/>
    </row>
    <row r="199" ht="15.75" customHeight="1">
      <c r="A199" s="56"/>
      <c r="B199" s="57"/>
      <c r="C199" s="56"/>
      <c r="D199" s="56"/>
      <c r="E199" s="56"/>
      <c r="F199" s="56"/>
      <c r="G199" s="56"/>
      <c r="H199" s="56"/>
      <c r="I199" s="56"/>
      <c r="J199" s="56"/>
      <c r="K199" s="56"/>
    </row>
    <row r="200" ht="15.75" customHeight="1">
      <c r="A200" s="58"/>
      <c r="B200" s="59"/>
      <c r="C200" s="58"/>
      <c r="D200" s="58"/>
      <c r="E200" s="58"/>
      <c r="F200" s="58"/>
      <c r="G200" s="58"/>
      <c r="H200" s="58"/>
      <c r="I200" s="58"/>
      <c r="J200" s="58"/>
      <c r="K200" s="58"/>
    </row>
    <row r="201" ht="15.75" customHeight="1">
      <c r="A201" s="56"/>
      <c r="B201" s="57"/>
      <c r="C201" s="56"/>
      <c r="D201" s="56"/>
      <c r="E201" s="56"/>
      <c r="F201" s="56"/>
      <c r="G201" s="56"/>
      <c r="H201" s="56"/>
      <c r="I201" s="56"/>
      <c r="J201" s="56"/>
      <c r="K201" s="56"/>
    </row>
    <row r="202" ht="15.75" customHeight="1">
      <c r="A202" s="58"/>
      <c r="B202" s="59"/>
      <c r="C202" s="58"/>
      <c r="D202" s="58"/>
      <c r="E202" s="58"/>
      <c r="F202" s="58"/>
      <c r="G202" s="58"/>
      <c r="H202" s="58"/>
      <c r="I202" s="58"/>
      <c r="J202" s="58"/>
      <c r="K202" s="58"/>
    </row>
    <row r="203" ht="15.75" customHeight="1">
      <c r="A203" s="56"/>
      <c r="B203" s="57"/>
      <c r="C203" s="56"/>
      <c r="D203" s="56"/>
      <c r="E203" s="56"/>
      <c r="F203" s="56"/>
      <c r="G203" s="56"/>
      <c r="H203" s="56"/>
      <c r="I203" s="56"/>
      <c r="J203" s="56"/>
      <c r="K203" s="56"/>
    </row>
    <row r="204" ht="15.75" customHeight="1">
      <c r="A204" s="58"/>
      <c r="B204" s="59"/>
      <c r="C204" s="58"/>
      <c r="D204" s="58"/>
      <c r="E204" s="58"/>
      <c r="F204" s="58"/>
      <c r="G204" s="58"/>
      <c r="H204" s="58"/>
      <c r="I204" s="58"/>
      <c r="J204" s="58"/>
      <c r="K204" s="58"/>
    </row>
    <row r="205" ht="15.75" customHeight="1">
      <c r="A205" s="56"/>
      <c r="B205" s="57"/>
      <c r="C205" s="56"/>
      <c r="D205" s="56"/>
      <c r="E205" s="56"/>
      <c r="F205" s="56"/>
      <c r="G205" s="56"/>
      <c r="H205" s="56"/>
      <c r="I205" s="56"/>
      <c r="J205" s="56"/>
      <c r="K205" s="56"/>
    </row>
    <row r="206" ht="15.75" customHeight="1">
      <c r="A206" s="58"/>
      <c r="B206" s="59"/>
      <c r="C206" s="58"/>
      <c r="D206" s="58"/>
      <c r="E206" s="58"/>
      <c r="F206" s="58"/>
      <c r="G206" s="58"/>
      <c r="H206" s="58"/>
      <c r="I206" s="58"/>
      <c r="J206" s="58"/>
      <c r="K206" s="58"/>
    </row>
    <row r="207" ht="15.75" customHeight="1">
      <c r="A207" s="56"/>
      <c r="B207" s="57"/>
      <c r="C207" s="56"/>
      <c r="D207" s="56"/>
      <c r="E207" s="56"/>
      <c r="F207" s="56"/>
      <c r="G207" s="56"/>
      <c r="H207" s="56"/>
      <c r="I207" s="56"/>
      <c r="J207" s="56"/>
      <c r="K207" s="56"/>
    </row>
    <row r="208" ht="15.75" customHeight="1">
      <c r="A208" s="58"/>
      <c r="B208" s="59"/>
      <c r="C208" s="58"/>
      <c r="D208" s="58"/>
      <c r="E208" s="58"/>
      <c r="F208" s="58"/>
      <c r="G208" s="58"/>
      <c r="H208" s="58"/>
      <c r="I208" s="58"/>
      <c r="J208" s="58"/>
      <c r="K208" s="58"/>
    </row>
    <row r="209" ht="15.75" customHeight="1">
      <c r="A209" s="56"/>
      <c r="B209" s="57"/>
      <c r="C209" s="56"/>
      <c r="D209" s="56"/>
      <c r="E209" s="56"/>
      <c r="F209" s="56"/>
      <c r="G209" s="56"/>
      <c r="H209" s="56"/>
      <c r="I209" s="56"/>
      <c r="J209" s="56"/>
      <c r="K209" s="56"/>
    </row>
    <row r="210" ht="15.75" customHeight="1">
      <c r="A210" s="58"/>
      <c r="B210" s="59"/>
      <c r="C210" s="58"/>
      <c r="D210" s="58"/>
      <c r="E210" s="58"/>
      <c r="F210" s="58"/>
      <c r="G210" s="58"/>
      <c r="H210" s="58"/>
      <c r="I210" s="58"/>
      <c r="J210" s="58"/>
      <c r="K210" s="58"/>
    </row>
    <row r="211" ht="15.75" customHeight="1">
      <c r="A211" s="56"/>
      <c r="B211" s="57"/>
      <c r="C211" s="56"/>
      <c r="D211" s="56"/>
      <c r="E211" s="56"/>
      <c r="F211" s="56"/>
      <c r="G211" s="56"/>
      <c r="H211" s="56"/>
      <c r="I211" s="56"/>
      <c r="J211" s="56"/>
      <c r="K211" s="56"/>
    </row>
    <row r="212" ht="15.75" customHeight="1">
      <c r="A212" s="58"/>
      <c r="B212" s="59"/>
      <c r="C212" s="58"/>
      <c r="D212" s="58"/>
      <c r="E212" s="58"/>
      <c r="F212" s="58"/>
      <c r="G212" s="58"/>
      <c r="H212" s="58"/>
      <c r="I212" s="58"/>
      <c r="J212" s="58"/>
      <c r="K212" s="58"/>
    </row>
    <row r="213" ht="15.75" customHeight="1">
      <c r="A213" s="56"/>
      <c r="B213" s="57"/>
      <c r="C213" s="56"/>
      <c r="D213" s="56"/>
      <c r="E213" s="56"/>
      <c r="F213" s="56"/>
      <c r="G213" s="56"/>
      <c r="H213" s="56"/>
      <c r="I213" s="56"/>
      <c r="J213" s="56"/>
      <c r="K213" s="56"/>
    </row>
    <row r="214" ht="15.75" customHeight="1">
      <c r="A214" s="58"/>
      <c r="B214" s="59"/>
      <c r="C214" s="58"/>
      <c r="D214" s="58"/>
      <c r="E214" s="58"/>
      <c r="F214" s="58"/>
      <c r="G214" s="58"/>
      <c r="H214" s="58"/>
      <c r="I214" s="58"/>
      <c r="J214" s="58"/>
      <c r="K214" s="58"/>
    </row>
    <row r="215" ht="15.75" customHeight="1">
      <c r="A215" s="56"/>
      <c r="B215" s="57"/>
      <c r="C215" s="56"/>
      <c r="D215" s="56"/>
      <c r="E215" s="56"/>
      <c r="F215" s="56"/>
      <c r="G215" s="56"/>
      <c r="H215" s="56"/>
      <c r="I215" s="56"/>
      <c r="J215" s="56"/>
      <c r="K215" s="56"/>
    </row>
    <row r="216" ht="15.75" customHeight="1">
      <c r="A216" s="58"/>
      <c r="B216" s="59"/>
      <c r="C216" s="58"/>
      <c r="D216" s="58"/>
      <c r="E216" s="58"/>
      <c r="F216" s="58"/>
      <c r="G216" s="58"/>
      <c r="H216" s="58"/>
      <c r="I216" s="58"/>
      <c r="J216" s="58"/>
      <c r="K216" s="58"/>
    </row>
    <row r="217" ht="15.75" customHeight="1">
      <c r="A217" s="56"/>
      <c r="B217" s="57"/>
      <c r="C217" s="56"/>
      <c r="D217" s="56"/>
      <c r="E217" s="56"/>
      <c r="F217" s="56"/>
      <c r="G217" s="56"/>
      <c r="H217" s="56"/>
      <c r="I217" s="56"/>
      <c r="J217" s="56"/>
      <c r="K217" s="56"/>
    </row>
    <row r="218" ht="15.75" customHeight="1">
      <c r="A218" s="58"/>
      <c r="B218" s="59"/>
      <c r="C218" s="58"/>
      <c r="D218" s="58"/>
      <c r="E218" s="58"/>
      <c r="F218" s="58"/>
      <c r="G218" s="58"/>
      <c r="H218" s="58"/>
      <c r="I218" s="58"/>
      <c r="J218" s="58"/>
      <c r="K218" s="58"/>
    </row>
    <row r="219" ht="15.75" customHeight="1">
      <c r="A219" s="56"/>
      <c r="B219" s="57"/>
      <c r="C219" s="56"/>
      <c r="D219" s="56"/>
      <c r="E219" s="56"/>
      <c r="F219" s="56"/>
      <c r="G219" s="56"/>
      <c r="H219" s="56"/>
      <c r="I219" s="56"/>
      <c r="J219" s="56"/>
      <c r="K219" s="56"/>
    </row>
    <row r="220" ht="15.75" customHeight="1">
      <c r="A220" s="58"/>
      <c r="B220" s="59"/>
      <c r="C220" s="58"/>
      <c r="D220" s="58"/>
      <c r="E220" s="58"/>
      <c r="F220" s="58"/>
      <c r="G220" s="58"/>
      <c r="H220" s="58"/>
      <c r="I220" s="58"/>
      <c r="J220" s="58"/>
      <c r="K220" s="58"/>
    </row>
    <row r="221" ht="15.75" customHeight="1">
      <c r="A221" s="56"/>
      <c r="B221" s="57"/>
      <c r="C221" s="56"/>
      <c r="D221" s="56"/>
      <c r="E221" s="56"/>
      <c r="F221" s="56"/>
      <c r="G221" s="56"/>
      <c r="H221" s="56"/>
      <c r="I221" s="56"/>
      <c r="J221" s="56"/>
      <c r="K221" s="56"/>
    </row>
    <row r="222" ht="15.75" customHeight="1">
      <c r="A222" s="58"/>
      <c r="B222" s="59"/>
      <c r="C222" s="58"/>
      <c r="D222" s="58"/>
      <c r="E222" s="58"/>
      <c r="F222" s="58"/>
      <c r="G222" s="58"/>
      <c r="H222" s="58"/>
      <c r="I222" s="58"/>
      <c r="J222" s="58"/>
      <c r="K222" s="58"/>
    </row>
    <row r="223" ht="15.75" customHeight="1">
      <c r="A223" s="56"/>
      <c r="B223" s="57"/>
      <c r="C223" s="56"/>
      <c r="D223" s="56"/>
      <c r="E223" s="56"/>
      <c r="F223" s="56"/>
      <c r="G223" s="56"/>
      <c r="H223" s="56"/>
      <c r="I223" s="56"/>
      <c r="J223" s="56"/>
      <c r="K223" s="56"/>
    </row>
    <row r="224" ht="15.75" customHeight="1">
      <c r="A224" s="58"/>
      <c r="B224" s="59"/>
      <c r="C224" s="58"/>
      <c r="D224" s="58"/>
      <c r="E224" s="58"/>
      <c r="F224" s="58"/>
      <c r="G224" s="58"/>
      <c r="H224" s="58"/>
      <c r="I224" s="58"/>
      <c r="J224" s="58"/>
      <c r="K224" s="58"/>
    </row>
    <row r="225" ht="15.75" customHeight="1">
      <c r="A225" s="56"/>
      <c r="B225" s="57"/>
      <c r="C225" s="56"/>
      <c r="D225" s="56"/>
      <c r="E225" s="56"/>
      <c r="F225" s="56"/>
      <c r="G225" s="56"/>
      <c r="H225" s="56"/>
      <c r="I225" s="56"/>
      <c r="J225" s="56"/>
      <c r="K225" s="56"/>
    </row>
    <row r="226" ht="15.75" customHeight="1">
      <c r="A226" s="58"/>
      <c r="B226" s="59"/>
      <c r="C226" s="58"/>
      <c r="D226" s="58"/>
      <c r="E226" s="58"/>
      <c r="F226" s="58"/>
      <c r="G226" s="58"/>
      <c r="H226" s="58"/>
      <c r="I226" s="58"/>
      <c r="J226" s="58"/>
      <c r="K226" s="58"/>
    </row>
    <row r="227" ht="15.75" customHeight="1">
      <c r="A227" s="56"/>
      <c r="B227" s="57"/>
      <c r="C227" s="56"/>
      <c r="D227" s="56"/>
      <c r="E227" s="56"/>
      <c r="F227" s="56"/>
      <c r="G227" s="56"/>
      <c r="H227" s="56"/>
      <c r="I227" s="56"/>
      <c r="J227" s="56"/>
      <c r="K227" s="56"/>
    </row>
    <row r="228" ht="15.75" customHeight="1">
      <c r="A228" s="58"/>
      <c r="B228" s="59"/>
      <c r="C228" s="58"/>
      <c r="D228" s="58"/>
      <c r="E228" s="58"/>
      <c r="F228" s="58"/>
      <c r="G228" s="58"/>
      <c r="H228" s="58"/>
      <c r="I228" s="58"/>
      <c r="J228" s="58"/>
      <c r="K228" s="58"/>
    </row>
    <row r="229" ht="15.75" customHeight="1">
      <c r="A229" s="56"/>
      <c r="B229" s="57"/>
      <c r="C229" s="56"/>
      <c r="D229" s="56"/>
      <c r="E229" s="56"/>
      <c r="F229" s="56"/>
      <c r="G229" s="56"/>
      <c r="H229" s="56"/>
      <c r="I229" s="56"/>
      <c r="J229" s="56"/>
      <c r="K229" s="56"/>
    </row>
    <row r="230" ht="15.75" customHeight="1">
      <c r="A230" s="58"/>
      <c r="B230" s="59"/>
      <c r="C230" s="58"/>
      <c r="D230" s="58"/>
      <c r="E230" s="58"/>
      <c r="F230" s="58"/>
      <c r="G230" s="58"/>
      <c r="H230" s="58"/>
      <c r="I230" s="58"/>
      <c r="J230" s="58"/>
      <c r="K230" s="58"/>
    </row>
    <row r="231" ht="15.75" customHeight="1">
      <c r="A231" s="56"/>
      <c r="B231" s="57"/>
      <c r="C231" s="56"/>
      <c r="D231" s="56"/>
      <c r="E231" s="56"/>
      <c r="F231" s="56"/>
      <c r="G231" s="56"/>
      <c r="H231" s="56"/>
      <c r="I231" s="56"/>
      <c r="J231" s="56"/>
      <c r="K231" s="56"/>
    </row>
    <row r="232" ht="15.75" customHeight="1">
      <c r="A232" s="58"/>
      <c r="B232" s="59"/>
      <c r="C232" s="58"/>
      <c r="D232" s="58"/>
      <c r="E232" s="58"/>
      <c r="F232" s="58"/>
      <c r="G232" s="58"/>
      <c r="H232" s="58"/>
      <c r="I232" s="58"/>
      <c r="J232" s="58"/>
      <c r="K232" s="58"/>
    </row>
    <row r="233" ht="15.75" customHeight="1">
      <c r="A233" s="56"/>
      <c r="B233" s="57"/>
      <c r="C233" s="56"/>
      <c r="D233" s="56"/>
      <c r="E233" s="56"/>
      <c r="F233" s="56"/>
      <c r="G233" s="56"/>
      <c r="H233" s="56"/>
      <c r="I233" s="56"/>
      <c r="J233" s="56"/>
      <c r="K233" s="56"/>
    </row>
    <row r="234" ht="15.75" customHeight="1">
      <c r="A234" s="58"/>
      <c r="B234" s="59"/>
      <c r="C234" s="58"/>
      <c r="D234" s="58"/>
      <c r="E234" s="58"/>
      <c r="F234" s="58"/>
      <c r="G234" s="58"/>
      <c r="H234" s="58"/>
      <c r="I234" s="58"/>
      <c r="J234" s="58"/>
      <c r="K234" s="58"/>
    </row>
    <row r="235" ht="15.75" customHeight="1">
      <c r="A235" s="56"/>
      <c r="B235" s="57"/>
      <c r="C235" s="56"/>
      <c r="D235" s="56"/>
      <c r="E235" s="56"/>
      <c r="F235" s="56"/>
      <c r="G235" s="56"/>
      <c r="H235" s="56"/>
      <c r="I235" s="56"/>
      <c r="J235" s="56"/>
      <c r="K235" s="56"/>
    </row>
    <row r="236" ht="15.75" customHeight="1">
      <c r="A236" s="58"/>
      <c r="B236" s="59"/>
      <c r="C236" s="58"/>
      <c r="D236" s="58"/>
      <c r="E236" s="58"/>
      <c r="F236" s="58"/>
      <c r="G236" s="58"/>
      <c r="H236" s="58"/>
      <c r="I236" s="58"/>
      <c r="J236" s="58"/>
      <c r="K236" s="58"/>
    </row>
    <row r="237" ht="15.75" customHeight="1">
      <c r="A237" s="56"/>
      <c r="B237" s="57"/>
      <c r="C237" s="56"/>
      <c r="D237" s="56"/>
      <c r="E237" s="56"/>
      <c r="F237" s="56"/>
      <c r="G237" s="56"/>
      <c r="H237" s="56"/>
      <c r="I237" s="56"/>
      <c r="J237" s="56"/>
      <c r="K237" s="56"/>
    </row>
    <row r="238" ht="15.75" customHeight="1">
      <c r="A238" s="58"/>
      <c r="B238" s="59"/>
      <c r="C238" s="58"/>
      <c r="D238" s="58"/>
      <c r="E238" s="58"/>
      <c r="F238" s="58"/>
      <c r="G238" s="58"/>
      <c r="H238" s="58"/>
      <c r="I238" s="58"/>
      <c r="J238" s="58"/>
      <c r="K238" s="58"/>
    </row>
    <row r="239" ht="15.75" customHeight="1">
      <c r="A239" s="56"/>
      <c r="B239" s="57"/>
      <c r="C239" s="56"/>
      <c r="D239" s="56"/>
      <c r="E239" s="56"/>
      <c r="F239" s="56"/>
      <c r="G239" s="56"/>
      <c r="H239" s="56"/>
      <c r="I239" s="56"/>
      <c r="J239" s="56"/>
      <c r="K239" s="56"/>
    </row>
    <row r="240" ht="15.75" customHeight="1">
      <c r="A240" s="58"/>
      <c r="B240" s="59"/>
      <c r="C240" s="58"/>
      <c r="D240" s="58"/>
      <c r="E240" s="58"/>
      <c r="F240" s="58"/>
      <c r="G240" s="58"/>
      <c r="H240" s="58"/>
      <c r="I240" s="58"/>
      <c r="J240" s="58"/>
      <c r="K240" s="58"/>
    </row>
    <row r="241" ht="15.75" customHeight="1">
      <c r="A241" s="56"/>
      <c r="B241" s="57"/>
      <c r="C241" s="56"/>
      <c r="D241" s="56"/>
      <c r="E241" s="56"/>
      <c r="F241" s="56"/>
      <c r="G241" s="56"/>
      <c r="H241" s="56"/>
      <c r="I241" s="56"/>
      <c r="J241" s="56"/>
      <c r="K241" s="56"/>
    </row>
    <row r="242" ht="15.75" customHeight="1">
      <c r="A242" s="58"/>
      <c r="B242" s="59"/>
      <c r="C242" s="58"/>
      <c r="D242" s="58"/>
      <c r="E242" s="58"/>
      <c r="F242" s="58"/>
      <c r="G242" s="58"/>
      <c r="H242" s="58"/>
      <c r="I242" s="58"/>
      <c r="J242" s="58"/>
      <c r="K242" s="58"/>
    </row>
    <row r="243" ht="15.75" customHeight="1">
      <c r="A243" s="56"/>
      <c r="B243" s="57"/>
      <c r="C243" s="56"/>
      <c r="D243" s="56"/>
      <c r="E243" s="56"/>
      <c r="F243" s="56"/>
      <c r="G243" s="56"/>
      <c r="H243" s="56"/>
      <c r="I243" s="56"/>
      <c r="J243" s="56"/>
      <c r="K243" s="56"/>
    </row>
    <row r="244" ht="15.75" customHeight="1">
      <c r="A244" s="58"/>
      <c r="B244" s="59"/>
      <c r="C244" s="58"/>
      <c r="D244" s="58"/>
      <c r="E244" s="58"/>
      <c r="F244" s="58"/>
      <c r="G244" s="58"/>
      <c r="H244" s="58"/>
      <c r="I244" s="58"/>
      <c r="J244" s="58"/>
      <c r="K244" s="58"/>
    </row>
    <row r="245" ht="15.75" customHeight="1">
      <c r="A245" s="56"/>
      <c r="B245" s="57"/>
      <c r="C245" s="56"/>
      <c r="D245" s="56"/>
      <c r="E245" s="56"/>
      <c r="F245" s="56"/>
      <c r="G245" s="56"/>
      <c r="H245" s="56"/>
      <c r="I245" s="56"/>
      <c r="J245" s="56"/>
      <c r="K245" s="56"/>
    </row>
    <row r="246" ht="15.75" customHeight="1">
      <c r="A246" s="58"/>
      <c r="B246" s="59"/>
      <c r="C246" s="58"/>
      <c r="D246" s="58"/>
      <c r="E246" s="58"/>
      <c r="F246" s="58"/>
      <c r="G246" s="58"/>
      <c r="H246" s="58"/>
      <c r="I246" s="58"/>
      <c r="J246" s="58"/>
      <c r="K246" s="58"/>
    </row>
    <row r="247" ht="15.75" customHeight="1">
      <c r="A247" s="56"/>
      <c r="B247" s="57"/>
      <c r="C247" s="56"/>
      <c r="D247" s="56"/>
      <c r="E247" s="56"/>
      <c r="F247" s="56"/>
      <c r="G247" s="56"/>
      <c r="H247" s="56"/>
      <c r="I247" s="56"/>
      <c r="J247" s="56"/>
      <c r="K247" s="56"/>
    </row>
    <row r="248" ht="15.75" customHeight="1">
      <c r="A248" s="58"/>
      <c r="B248" s="59"/>
      <c r="C248" s="58"/>
      <c r="D248" s="58"/>
      <c r="E248" s="58"/>
      <c r="F248" s="58"/>
      <c r="G248" s="58"/>
      <c r="H248" s="58"/>
      <c r="I248" s="58"/>
      <c r="J248" s="58"/>
      <c r="K248" s="58"/>
    </row>
    <row r="249" ht="15.75" customHeight="1">
      <c r="A249" s="56"/>
      <c r="B249" s="57"/>
      <c r="C249" s="56"/>
      <c r="D249" s="56"/>
      <c r="E249" s="56"/>
      <c r="F249" s="56"/>
      <c r="G249" s="56"/>
      <c r="H249" s="56"/>
      <c r="I249" s="56"/>
      <c r="J249" s="56"/>
      <c r="K249" s="56"/>
    </row>
    <row r="250" ht="15.75" customHeight="1">
      <c r="A250" s="58"/>
      <c r="B250" s="59"/>
      <c r="C250" s="58"/>
      <c r="D250" s="58"/>
      <c r="E250" s="58"/>
      <c r="F250" s="58"/>
      <c r="G250" s="58"/>
      <c r="H250" s="58"/>
      <c r="I250" s="58"/>
      <c r="J250" s="58"/>
      <c r="K250" s="58"/>
    </row>
    <row r="251" ht="15.75" customHeight="1">
      <c r="A251" s="56"/>
      <c r="B251" s="57"/>
      <c r="C251" s="56"/>
      <c r="D251" s="56"/>
      <c r="E251" s="56"/>
      <c r="F251" s="56"/>
      <c r="G251" s="56"/>
      <c r="H251" s="56"/>
      <c r="I251" s="56"/>
      <c r="J251" s="56"/>
      <c r="K251" s="56"/>
    </row>
    <row r="252" ht="15.75" customHeight="1">
      <c r="A252" s="58"/>
      <c r="B252" s="59"/>
      <c r="C252" s="58"/>
      <c r="D252" s="58"/>
      <c r="E252" s="58"/>
      <c r="F252" s="58"/>
      <c r="G252" s="58"/>
      <c r="H252" s="58"/>
      <c r="I252" s="58"/>
      <c r="J252" s="58"/>
      <c r="K252" s="58"/>
    </row>
    <row r="253" ht="15.75" customHeight="1">
      <c r="A253" s="56"/>
      <c r="B253" s="57"/>
      <c r="C253" s="56"/>
      <c r="D253" s="56"/>
      <c r="E253" s="56"/>
      <c r="F253" s="56"/>
      <c r="G253" s="56"/>
      <c r="H253" s="56"/>
      <c r="I253" s="56"/>
      <c r="J253" s="56"/>
      <c r="K253" s="56"/>
    </row>
    <row r="254" ht="15.75" customHeight="1">
      <c r="A254" s="58"/>
      <c r="B254" s="59"/>
      <c r="C254" s="58"/>
      <c r="D254" s="58"/>
      <c r="E254" s="58"/>
      <c r="F254" s="58"/>
      <c r="G254" s="58"/>
      <c r="H254" s="58"/>
      <c r="I254" s="58"/>
      <c r="J254" s="58"/>
      <c r="K254" s="58"/>
    </row>
    <row r="255" ht="15.75" customHeight="1">
      <c r="A255" s="56"/>
      <c r="B255" s="57"/>
      <c r="C255" s="56"/>
      <c r="D255" s="56"/>
      <c r="E255" s="56"/>
      <c r="F255" s="56"/>
      <c r="G255" s="56"/>
      <c r="H255" s="56"/>
      <c r="I255" s="56"/>
      <c r="J255" s="56"/>
      <c r="K255" s="56"/>
    </row>
    <row r="256" ht="15.75" customHeight="1">
      <c r="A256" s="58"/>
      <c r="B256" s="59"/>
      <c r="C256" s="58"/>
      <c r="D256" s="58"/>
      <c r="E256" s="58"/>
      <c r="F256" s="58"/>
      <c r="G256" s="58"/>
      <c r="H256" s="58"/>
      <c r="I256" s="58"/>
      <c r="J256" s="58"/>
      <c r="K256" s="58"/>
    </row>
    <row r="257" ht="15.75" customHeight="1">
      <c r="A257" s="56"/>
      <c r="B257" s="57"/>
      <c r="C257" s="56"/>
      <c r="D257" s="56"/>
      <c r="E257" s="56"/>
      <c r="F257" s="56"/>
      <c r="G257" s="56"/>
      <c r="H257" s="56"/>
      <c r="I257" s="56"/>
      <c r="J257" s="56"/>
      <c r="K257" s="56"/>
    </row>
    <row r="258" ht="15.75" customHeight="1">
      <c r="A258" s="58"/>
      <c r="B258" s="59"/>
      <c r="C258" s="58"/>
      <c r="D258" s="58"/>
      <c r="E258" s="58"/>
      <c r="F258" s="58"/>
      <c r="G258" s="58"/>
      <c r="H258" s="58"/>
      <c r="I258" s="58"/>
      <c r="J258" s="58"/>
      <c r="K258" s="58"/>
    </row>
    <row r="259" ht="15.75" customHeight="1">
      <c r="A259" s="56"/>
      <c r="B259" s="57"/>
      <c r="C259" s="56"/>
      <c r="D259" s="56"/>
      <c r="E259" s="56"/>
      <c r="F259" s="56"/>
      <c r="G259" s="56"/>
      <c r="H259" s="56"/>
      <c r="I259" s="56"/>
      <c r="J259" s="56"/>
      <c r="K259" s="56"/>
    </row>
    <row r="260" ht="15.75" customHeight="1">
      <c r="A260" s="58"/>
      <c r="B260" s="59"/>
      <c r="C260" s="58"/>
      <c r="D260" s="58"/>
      <c r="E260" s="58"/>
      <c r="F260" s="58"/>
      <c r="G260" s="58"/>
      <c r="H260" s="58"/>
      <c r="I260" s="58"/>
      <c r="J260" s="58"/>
      <c r="K260" s="58"/>
    </row>
    <row r="261" ht="15.75" customHeight="1">
      <c r="A261" s="56"/>
      <c r="B261" s="57"/>
      <c r="C261" s="56"/>
      <c r="D261" s="56"/>
      <c r="E261" s="56"/>
      <c r="F261" s="56"/>
      <c r="G261" s="56"/>
      <c r="H261" s="56"/>
      <c r="I261" s="56"/>
      <c r="J261" s="56"/>
      <c r="K261" s="56"/>
    </row>
    <row r="262" ht="15.75" customHeight="1">
      <c r="A262" s="58"/>
      <c r="B262" s="59"/>
      <c r="C262" s="58"/>
      <c r="D262" s="58"/>
      <c r="E262" s="58"/>
      <c r="F262" s="58"/>
      <c r="G262" s="58"/>
      <c r="H262" s="58"/>
      <c r="I262" s="58"/>
      <c r="J262" s="58"/>
      <c r="K262" s="58"/>
    </row>
    <row r="263" ht="15.75" customHeight="1">
      <c r="A263" s="56"/>
      <c r="B263" s="57"/>
      <c r="C263" s="56"/>
      <c r="D263" s="56"/>
      <c r="E263" s="56"/>
      <c r="F263" s="56"/>
      <c r="G263" s="56"/>
      <c r="H263" s="56"/>
      <c r="I263" s="56"/>
      <c r="J263" s="56"/>
      <c r="K263" s="56"/>
    </row>
    <row r="264" ht="15.75" customHeight="1">
      <c r="A264" s="58"/>
      <c r="B264" s="59"/>
      <c r="C264" s="58"/>
      <c r="D264" s="58"/>
      <c r="E264" s="58"/>
      <c r="F264" s="58"/>
      <c r="G264" s="58"/>
      <c r="H264" s="58"/>
      <c r="I264" s="58"/>
      <c r="J264" s="58"/>
      <c r="K264" s="58"/>
    </row>
    <row r="265" ht="15.75" customHeight="1">
      <c r="A265" s="56"/>
      <c r="B265" s="57"/>
      <c r="C265" s="56"/>
      <c r="D265" s="56"/>
      <c r="E265" s="56"/>
      <c r="F265" s="56"/>
      <c r="G265" s="56"/>
      <c r="H265" s="56"/>
      <c r="I265" s="56"/>
      <c r="J265" s="56"/>
      <c r="K265" s="56"/>
    </row>
    <row r="266" ht="15.75" customHeight="1">
      <c r="A266" s="58"/>
      <c r="B266" s="59"/>
      <c r="C266" s="58"/>
      <c r="D266" s="58"/>
      <c r="E266" s="58"/>
      <c r="F266" s="58"/>
      <c r="G266" s="58"/>
      <c r="H266" s="58"/>
      <c r="I266" s="58"/>
      <c r="J266" s="58"/>
      <c r="K266" s="58"/>
    </row>
    <row r="267" ht="15.75" customHeight="1">
      <c r="A267" s="56"/>
      <c r="B267" s="57"/>
      <c r="C267" s="56"/>
      <c r="D267" s="56"/>
      <c r="E267" s="56"/>
      <c r="F267" s="56"/>
      <c r="G267" s="56"/>
      <c r="H267" s="56"/>
      <c r="I267" s="56"/>
      <c r="J267" s="56"/>
      <c r="K267" s="56"/>
    </row>
    <row r="268" ht="15.75" customHeight="1">
      <c r="A268" s="58"/>
      <c r="B268" s="59"/>
      <c r="C268" s="58"/>
      <c r="D268" s="58"/>
      <c r="E268" s="58"/>
      <c r="F268" s="58"/>
      <c r="G268" s="58"/>
      <c r="H268" s="58"/>
      <c r="I268" s="58"/>
      <c r="J268" s="58"/>
      <c r="K268" s="58"/>
    </row>
    <row r="269" ht="15.75" customHeight="1">
      <c r="A269" s="56"/>
      <c r="B269" s="57"/>
      <c r="C269" s="56"/>
      <c r="D269" s="56"/>
      <c r="E269" s="56"/>
      <c r="F269" s="56"/>
      <c r="G269" s="56"/>
      <c r="H269" s="56"/>
      <c r="I269" s="56"/>
      <c r="J269" s="56"/>
      <c r="K269" s="56"/>
    </row>
    <row r="270" ht="15.75" customHeight="1">
      <c r="A270" s="58"/>
      <c r="B270" s="59"/>
      <c r="C270" s="58"/>
      <c r="D270" s="58"/>
      <c r="E270" s="58"/>
      <c r="F270" s="58"/>
      <c r="G270" s="58"/>
      <c r="H270" s="58"/>
      <c r="I270" s="58"/>
      <c r="J270" s="58"/>
      <c r="K270" s="58"/>
    </row>
    <row r="271" ht="15.75" customHeight="1">
      <c r="A271" s="56"/>
      <c r="B271" s="57"/>
      <c r="C271" s="56"/>
      <c r="D271" s="56"/>
      <c r="E271" s="56"/>
      <c r="F271" s="56"/>
      <c r="G271" s="56"/>
      <c r="H271" s="56"/>
      <c r="I271" s="56"/>
      <c r="J271" s="56"/>
      <c r="K271" s="56"/>
    </row>
    <row r="272" ht="15.75" customHeight="1">
      <c r="A272" s="58"/>
      <c r="B272" s="59"/>
      <c r="C272" s="58"/>
      <c r="D272" s="58"/>
      <c r="E272" s="58"/>
      <c r="F272" s="58"/>
      <c r="G272" s="58"/>
      <c r="H272" s="58"/>
      <c r="I272" s="58"/>
      <c r="J272" s="58"/>
      <c r="K272" s="58"/>
    </row>
    <row r="273" ht="15.75" customHeight="1">
      <c r="A273" s="56"/>
      <c r="B273" s="57"/>
      <c r="C273" s="56"/>
      <c r="D273" s="56"/>
      <c r="E273" s="56"/>
      <c r="F273" s="56"/>
      <c r="G273" s="56"/>
      <c r="H273" s="56"/>
      <c r="I273" s="56"/>
      <c r="J273" s="56"/>
      <c r="K273" s="56"/>
    </row>
    <row r="274" ht="15.75" customHeight="1">
      <c r="A274" s="58"/>
      <c r="B274" s="59"/>
      <c r="C274" s="58"/>
      <c r="D274" s="58"/>
      <c r="E274" s="58"/>
      <c r="F274" s="58"/>
      <c r="G274" s="58"/>
      <c r="H274" s="58"/>
      <c r="I274" s="58"/>
      <c r="J274" s="58"/>
      <c r="K274" s="58"/>
    </row>
    <row r="275" ht="15.75" customHeight="1">
      <c r="A275" s="56"/>
      <c r="B275" s="57"/>
      <c r="C275" s="56"/>
      <c r="D275" s="56"/>
      <c r="E275" s="56"/>
      <c r="F275" s="56"/>
      <c r="G275" s="56"/>
      <c r="H275" s="56"/>
      <c r="I275" s="56"/>
      <c r="J275" s="56"/>
      <c r="K275" s="56"/>
    </row>
    <row r="276" ht="15.75" customHeight="1">
      <c r="A276" s="58"/>
      <c r="B276" s="59"/>
      <c r="C276" s="58"/>
      <c r="D276" s="58"/>
      <c r="E276" s="58"/>
      <c r="F276" s="58"/>
      <c r="G276" s="58"/>
      <c r="H276" s="58"/>
      <c r="I276" s="58"/>
      <c r="J276" s="58"/>
      <c r="K276" s="58"/>
    </row>
    <row r="277" ht="15.75" customHeight="1">
      <c r="A277" s="56"/>
      <c r="B277" s="57"/>
      <c r="C277" s="56"/>
      <c r="D277" s="56"/>
      <c r="E277" s="56"/>
      <c r="F277" s="56"/>
      <c r="G277" s="56"/>
      <c r="H277" s="56"/>
      <c r="I277" s="56"/>
      <c r="J277" s="56"/>
      <c r="K277" s="56"/>
    </row>
    <row r="278" ht="15.75" customHeight="1">
      <c r="A278" s="58"/>
      <c r="B278" s="59"/>
      <c r="C278" s="58"/>
      <c r="D278" s="58"/>
      <c r="E278" s="58"/>
      <c r="F278" s="58"/>
      <c r="G278" s="58"/>
      <c r="H278" s="58"/>
      <c r="I278" s="58"/>
      <c r="J278" s="58"/>
      <c r="K278" s="58"/>
    </row>
    <row r="279" ht="15.75" customHeight="1">
      <c r="A279" s="56"/>
      <c r="B279" s="57"/>
      <c r="C279" s="56"/>
      <c r="D279" s="56"/>
      <c r="E279" s="56"/>
      <c r="F279" s="56"/>
      <c r="G279" s="56"/>
      <c r="H279" s="56"/>
      <c r="I279" s="56"/>
      <c r="J279" s="56"/>
      <c r="K279" s="56"/>
    </row>
    <row r="280" ht="15.75" customHeight="1">
      <c r="A280" s="58"/>
      <c r="B280" s="59"/>
      <c r="C280" s="58"/>
      <c r="D280" s="58"/>
      <c r="E280" s="58"/>
      <c r="F280" s="58"/>
      <c r="G280" s="58"/>
      <c r="H280" s="58"/>
      <c r="I280" s="58"/>
      <c r="J280" s="58"/>
      <c r="K280" s="58"/>
    </row>
    <row r="281" ht="15.75" customHeight="1">
      <c r="A281" s="56"/>
      <c r="B281" s="57"/>
      <c r="C281" s="56"/>
      <c r="D281" s="56"/>
      <c r="E281" s="56"/>
      <c r="F281" s="56"/>
      <c r="G281" s="56"/>
      <c r="H281" s="56"/>
      <c r="I281" s="56"/>
      <c r="J281" s="56"/>
      <c r="K281" s="56"/>
    </row>
    <row r="282" ht="15.75" customHeight="1">
      <c r="A282" s="58"/>
      <c r="B282" s="59"/>
      <c r="C282" s="58"/>
      <c r="D282" s="58"/>
      <c r="E282" s="58"/>
      <c r="F282" s="58"/>
      <c r="G282" s="58"/>
      <c r="H282" s="58"/>
      <c r="I282" s="58"/>
      <c r="J282" s="58"/>
      <c r="K282" s="58"/>
    </row>
    <row r="283" ht="15.75" customHeight="1">
      <c r="A283" s="56"/>
      <c r="B283" s="57"/>
      <c r="C283" s="56"/>
      <c r="D283" s="56"/>
      <c r="E283" s="56"/>
      <c r="F283" s="56"/>
      <c r="G283" s="56"/>
      <c r="H283" s="56"/>
      <c r="I283" s="56"/>
      <c r="J283" s="56"/>
      <c r="K283" s="56"/>
    </row>
    <row r="284" ht="15.75" customHeight="1">
      <c r="A284" s="58"/>
      <c r="B284" s="59"/>
      <c r="C284" s="58"/>
      <c r="D284" s="58"/>
      <c r="E284" s="58"/>
      <c r="F284" s="58"/>
      <c r="G284" s="58"/>
      <c r="H284" s="58"/>
      <c r="I284" s="58"/>
      <c r="J284" s="58"/>
      <c r="K284" s="58"/>
    </row>
    <row r="285" ht="15.75" customHeight="1">
      <c r="A285" s="56"/>
      <c r="B285" s="57"/>
      <c r="C285" s="56"/>
      <c r="D285" s="56"/>
      <c r="E285" s="56"/>
      <c r="F285" s="56"/>
      <c r="G285" s="56"/>
      <c r="H285" s="56"/>
      <c r="I285" s="56"/>
      <c r="J285" s="56"/>
      <c r="K285" s="56"/>
    </row>
    <row r="286" ht="15.75" customHeight="1">
      <c r="A286" s="58"/>
      <c r="B286" s="59"/>
      <c r="C286" s="58"/>
      <c r="D286" s="58"/>
      <c r="E286" s="58"/>
      <c r="F286" s="58"/>
      <c r="G286" s="58"/>
      <c r="H286" s="58"/>
      <c r="I286" s="58"/>
      <c r="J286" s="58"/>
      <c r="K286" s="58"/>
    </row>
    <row r="287" ht="15.75" customHeight="1">
      <c r="A287" s="56"/>
      <c r="B287" s="57"/>
      <c r="C287" s="56"/>
      <c r="D287" s="56"/>
      <c r="E287" s="56"/>
      <c r="F287" s="56"/>
      <c r="G287" s="56"/>
      <c r="H287" s="56"/>
      <c r="I287" s="56"/>
      <c r="J287" s="56"/>
      <c r="K287" s="56"/>
    </row>
    <row r="288" ht="15.75" customHeight="1">
      <c r="A288" s="58"/>
      <c r="B288" s="59"/>
      <c r="C288" s="58"/>
      <c r="D288" s="58"/>
      <c r="E288" s="58"/>
      <c r="F288" s="58"/>
      <c r="G288" s="58"/>
      <c r="H288" s="58"/>
      <c r="I288" s="58"/>
      <c r="J288" s="58"/>
      <c r="K288" s="58"/>
    </row>
    <row r="289" ht="15.75" customHeight="1">
      <c r="A289" s="56"/>
      <c r="B289" s="57"/>
      <c r="C289" s="56"/>
      <c r="D289" s="56"/>
      <c r="E289" s="56"/>
      <c r="F289" s="56"/>
      <c r="G289" s="56"/>
      <c r="H289" s="56"/>
      <c r="I289" s="56"/>
      <c r="J289" s="56"/>
      <c r="K289" s="56"/>
    </row>
    <row r="290" ht="15.75" customHeight="1">
      <c r="A290" s="58"/>
      <c r="B290" s="59"/>
      <c r="C290" s="58"/>
      <c r="D290" s="58"/>
      <c r="E290" s="58"/>
      <c r="F290" s="58"/>
      <c r="G290" s="58"/>
      <c r="H290" s="58"/>
      <c r="I290" s="58"/>
      <c r="J290" s="58"/>
      <c r="K290" s="58"/>
    </row>
    <row r="291" ht="15.75" customHeight="1">
      <c r="A291" s="56"/>
      <c r="B291" s="57"/>
      <c r="C291" s="56"/>
      <c r="D291" s="56"/>
      <c r="E291" s="56"/>
      <c r="F291" s="56"/>
      <c r="G291" s="56"/>
      <c r="H291" s="56"/>
      <c r="I291" s="56"/>
      <c r="J291" s="56"/>
      <c r="K291" s="56"/>
    </row>
    <row r="292" ht="15.75" customHeight="1">
      <c r="A292" s="58"/>
      <c r="B292" s="59"/>
      <c r="C292" s="58"/>
      <c r="D292" s="58"/>
      <c r="E292" s="58"/>
      <c r="F292" s="58"/>
      <c r="G292" s="58"/>
      <c r="H292" s="58"/>
      <c r="I292" s="58"/>
      <c r="J292" s="58"/>
      <c r="K292" s="58"/>
    </row>
    <row r="293" ht="15.75" customHeight="1">
      <c r="A293" s="56"/>
      <c r="B293" s="57"/>
      <c r="C293" s="56"/>
      <c r="D293" s="56"/>
      <c r="E293" s="56"/>
      <c r="F293" s="56"/>
      <c r="G293" s="56"/>
      <c r="H293" s="56"/>
      <c r="I293" s="56"/>
      <c r="J293" s="56"/>
      <c r="K293" s="56"/>
    </row>
    <row r="294" ht="15.75" customHeight="1">
      <c r="A294" s="58"/>
      <c r="B294" s="59"/>
      <c r="C294" s="58"/>
      <c r="D294" s="58"/>
      <c r="E294" s="58"/>
      <c r="F294" s="58"/>
      <c r="G294" s="58"/>
      <c r="H294" s="58"/>
      <c r="I294" s="58"/>
      <c r="J294" s="58"/>
      <c r="K294" s="58"/>
    </row>
    <row r="295" ht="15.75" customHeight="1">
      <c r="A295" s="56"/>
      <c r="B295" s="57"/>
      <c r="C295" s="56"/>
      <c r="D295" s="56"/>
      <c r="E295" s="56"/>
      <c r="F295" s="56"/>
      <c r="G295" s="56"/>
      <c r="H295" s="56"/>
      <c r="I295" s="56"/>
      <c r="J295" s="56"/>
      <c r="K295" s="56"/>
    </row>
    <row r="296" ht="15.75" customHeight="1">
      <c r="A296" s="58"/>
      <c r="B296" s="59"/>
      <c r="C296" s="58"/>
      <c r="D296" s="58"/>
      <c r="E296" s="58"/>
      <c r="F296" s="58"/>
      <c r="G296" s="58"/>
      <c r="H296" s="58"/>
      <c r="I296" s="58"/>
      <c r="J296" s="58"/>
      <c r="K296" s="58"/>
    </row>
    <row r="297" ht="15.75" customHeight="1">
      <c r="A297" s="56"/>
      <c r="B297" s="57"/>
      <c r="C297" s="56"/>
      <c r="D297" s="56"/>
      <c r="E297" s="56"/>
      <c r="F297" s="56"/>
      <c r="G297" s="56"/>
      <c r="H297" s="56"/>
      <c r="I297" s="56"/>
      <c r="J297" s="56"/>
      <c r="K297" s="56"/>
    </row>
    <row r="298" ht="15.75" customHeight="1">
      <c r="A298" s="58"/>
      <c r="B298" s="59"/>
      <c r="C298" s="58"/>
      <c r="D298" s="58"/>
      <c r="E298" s="58"/>
      <c r="F298" s="58"/>
      <c r="G298" s="58"/>
      <c r="H298" s="58"/>
      <c r="I298" s="58"/>
      <c r="J298" s="58"/>
      <c r="K298" s="58"/>
    </row>
    <row r="299" ht="15.75" customHeight="1">
      <c r="A299" s="56"/>
      <c r="B299" s="57"/>
      <c r="C299" s="56"/>
      <c r="D299" s="56"/>
      <c r="E299" s="56"/>
      <c r="F299" s="56"/>
      <c r="G299" s="56"/>
      <c r="H299" s="56"/>
      <c r="I299" s="56"/>
      <c r="J299" s="56"/>
      <c r="K299" s="56"/>
    </row>
    <row r="300" ht="15.75" customHeight="1">
      <c r="A300" s="58"/>
      <c r="B300" s="59"/>
      <c r="C300" s="58"/>
      <c r="D300" s="58"/>
      <c r="E300" s="58"/>
      <c r="F300" s="58"/>
      <c r="G300" s="58"/>
      <c r="H300" s="58"/>
      <c r="I300" s="58"/>
      <c r="J300" s="58"/>
      <c r="K300" s="58"/>
    </row>
    <row r="301" ht="15.75" customHeight="1">
      <c r="A301" s="56"/>
      <c r="B301" s="57"/>
      <c r="C301" s="56"/>
      <c r="D301" s="56"/>
      <c r="E301" s="56"/>
      <c r="F301" s="56"/>
      <c r="G301" s="56"/>
      <c r="H301" s="56"/>
      <c r="I301" s="56"/>
      <c r="J301" s="56"/>
      <c r="K301" s="56"/>
    </row>
    <row r="302" ht="15.75" customHeight="1">
      <c r="A302" s="58"/>
      <c r="B302" s="59"/>
      <c r="C302" s="58"/>
      <c r="D302" s="58"/>
      <c r="E302" s="58"/>
      <c r="F302" s="58"/>
      <c r="G302" s="58"/>
      <c r="H302" s="58"/>
      <c r="I302" s="58"/>
      <c r="J302" s="58"/>
      <c r="K302" s="58"/>
    </row>
    <row r="303" ht="15.75" customHeight="1">
      <c r="A303" s="56"/>
      <c r="B303" s="57"/>
      <c r="C303" s="56"/>
      <c r="D303" s="56"/>
      <c r="E303" s="56"/>
      <c r="F303" s="56"/>
      <c r="G303" s="56"/>
      <c r="H303" s="56"/>
      <c r="I303" s="56"/>
      <c r="J303" s="56"/>
      <c r="K303" s="56"/>
    </row>
    <row r="304" ht="15.75" customHeight="1">
      <c r="A304" s="58"/>
      <c r="B304" s="59"/>
      <c r="C304" s="58"/>
      <c r="D304" s="58"/>
      <c r="E304" s="58"/>
      <c r="F304" s="58"/>
      <c r="G304" s="58"/>
      <c r="H304" s="58"/>
      <c r="I304" s="58"/>
      <c r="J304" s="58"/>
      <c r="K304" s="58"/>
    </row>
    <row r="305" ht="15.75" customHeight="1">
      <c r="A305" s="56"/>
      <c r="B305" s="57"/>
      <c r="C305" s="56"/>
      <c r="D305" s="56"/>
      <c r="E305" s="56"/>
      <c r="F305" s="56"/>
      <c r="G305" s="56"/>
      <c r="H305" s="56"/>
      <c r="I305" s="56"/>
      <c r="J305" s="56"/>
      <c r="K305" s="56"/>
    </row>
    <row r="306" ht="15.75" customHeight="1">
      <c r="A306" s="58"/>
      <c r="B306" s="59"/>
      <c r="C306" s="58"/>
      <c r="D306" s="58"/>
      <c r="E306" s="58"/>
      <c r="F306" s="58"/>
      <c r="G306" s="58"/>
      <c r="H306" s="58"/>
      <c r="I306" s="58"/>
      <c r="J306" s="58"/>
      <c r="K306" s="58"/>
    </row>
    <row r="307" ht="15.75" customHeight="1">
      <c r="A307" s="56"/>
      <c r="B307" s="57"/>
      <c r="C307" s="56"/>
      <c r="D307" s="56"/>
      <c r="E307" s="56"/>
      <c r="F307" s="56"/>
      <c r="G307" s="56"/>
      <c r="H307" s="56"/>
      <c r="I307" s="56"/>
      <c r="J307" s="56"/>
      <c r="K307" s="56"/>
    </row>
    <row r="308" ht="15.75" customHeight="1">
      <c r="A308" s="58"/>
      <c r="B308" s="59"/>
      <c r="C308" s="58"/>
      <c r="D308" s="58"/>
      <c r="E308" s="58"/>
      <c r="F308" s="58"/>
      <c r="G308" s="58"/>
      <c r="H308" s="58"/>
      <c r="I308" s="58"/>
      <c r="J308" s="58"/>
      <c r="K308" s="58"/>
    </row>
    <row r="309" ht="15.75" customHeight="1">
      <c r="A309" s="56"/>
      <c r="B309" s="57"/>
      <c r="C309" s="56"/>
      <c r="D309" s="56"/>
      <c r="E309" s="56"/>
      <c r="F309" s="56"/>
      <c r="G309" s="56"/>
      <c r="H309" s="56"/>
      <c r="I309" s="56"/>
      <c r="J309" s="56"/>
      <c r="K309" s="56"/>
    </row>
    <row r="310" ht="15.75" customHeight="1">
      <c r="A310" s="58"/>
      <c r="B310" s="59"/>
      <c r="C310" s="58"/>
      <c r="D310" s="58"/>
      <c r="E310" s="58"/>
      <c r="F310" s="58"/>
      <c r="G310" s="58"/>
      <c r="H310" s="58"/>
      <c r="I310" s="58"/>
      <c r="J310" s="58"/>
      <c r="K310" s="58"/>
    </row>
    <row r="311" ht="15.75" customHeight="1">
      <c r="A311" s="56"/>
      <c r="B311" s="57"/>
      <c r="C311" s="56"/>
      <c r="D311" s="56"/>
      <c r="E311" s="56"/>
      <c r="F311" s="56"/>
      <c r="G311" s="56"/>
      <c r="H311" s="56"/>
      <c r="I311" s="56"/>
      <c r="J311" s="56"/>
      <c r="K311" s="56"/>
    </row>
    <row r="312" ht="15.75" customHeight="1">
      <c r="A312" s="58"/>
      <c r="B312" s="59"/>
      <c r="C312" s="58"/>
      <c r="D312" s="58"/>
      <c r="E312" s="58"/>
      <c r="F312" s="58"/>
      <c r="G312" s="58"/>
      <c r="H312" s="58"/>
      <c r="I312" s="58"/>
      <c r="J312" s="58"/>
      <c r="K312" s="58"/>
    </row>
    <row r="313" ht="15.75" customHeight="1">
      <c r="A313" s="56"/>
      <c r="B313" s="57"/>
      <c r="C313" s="56"/>
      <c r="D313" s="56"/>
      <c r="E313" s="56"/>
      <c r="F313" s="56"/>
      <c r="G313" s="56"/>
      <c r="H313" s="56"/>
      <c r="I313" s="56"/>
      <c r="J313" s="56"/>
      <c r="K313" s="56"/>
    </row>
    <row r="314" ht="15.75" customHeight="1">
      <c r="A314" s="58"/>
      <c r="B314" s="59"/>
      <c r="C314" s="58"/>
      <c r="D314" s="58"/>
      <c r="E314" s="58"/>
      <c r="F314" s="58"/>
      <c r="G314" s="58"/>
      <c r="H314" s="58"/>
      <c r="I314" s="58"/>
      <c r="J314" s="58"/>
      <c r="K314" s="58"/>
    </row>
    <row r="315" ht="15.75" customHeight="1">
      <c r="A315" s="56"/>
      <c r="B315" s="57"/>
      <c r="C315" s="56"/>
      <c r="D315" s="56"/>
      <c r="E315" s="56"/>
      <c r="F315" s="56"/>
      <c r="G315" s="56"/>
      <c r="H315" s="56"/>
      <c r="I315" s="56"/>
      <c r="J315" s="56"/>
      <c r="K315" s="56"/>
    </row>
    <row r="316" ht="15.75" customHeight="1">
      <c r="A316" s="58"/>
      <c r="B316" s="59"/>
      <c r="C316" s="58"/>
      <c r="D316" s="58"/>
      <c r="E316" s="58"/>
      <c r="F316" s="58"/>
      <c r="G316" s="58"/>
      <c r="H316" s="58"/>
      <c r="I316" s="58"/>
      <c r="J316" s="58"/>
      <c r="K316" s="58"/>
    </row>
    <row r="317" ht="15.75" customHeight="1">
      <c r="A317" s="56"/>
      <c r="B317" s="57"/>
      <c r="C317" s="56"/>
      <c r="D317" s="56"/>
      <c r="E317" s="56"/>
      <c r="F317" s="56"/>
      <c r="G317" s="56"/>
      <c r="H317" s="56"/>
      <c r="I317" s="56"/>
      <c r="J317" s="56"/>
      <c r="K317" s="56"/>
    </row>
    <row r="318" ht="15.75" customHeight="1">
      <c r="A318" s="58"/>
      <c r="B318" s="59"/>
      <c r="C318" s="58"/>
      <c r="D318" s="58"/>
      <c r="E318" s="58"/>
      <c r="F318" s="58"/>
      <c r="G318" s="58"/>
      <c r="H318" s="58"/>
      <c r="I318" s="58"/>
      <c r="J318" s="58"/>
      <c r="K318" s="58"/>
    </row>
    <row r="319" ht="15.75" customHeight="1">
      <c r="A319" s="56"/>
      <c r="B319" s="57"/>
      <c r="C319" s="56"/>
      <c r="D319" s="56"/>
      <c r="E319" s="56"/>
      <c r="F319" s="56"/>
      <c r="G319" s="56"/>
      <c r="H319" s="56"/>
      <c r="I319" s="56"/>
      <c r="J319" s="56"/>
      <c r="K319" s="56"/>
    </row>
    <row r="320" ht="15.75" customHeight="1">
      <c r="A320" s="58"/>
      <c r="B320" s="59"/>
      <c r="C320" s="58"/>
      <c r="D320" s="58"/>
      <c r="E320" s="58"/>
      <c r="F320" s="58"/>
      <c r="G320" s="58"/>
      <c r="H320" s="58"/>
      <c r="I320" s="58"/>
      <c r="J320" s="58"/>
      <c r="K320" s="58"/>
    </row>
    <row r="321" ht="15.75" customHeight="1">
      <c r="A321" s="56"/>
      <c r="B321" s="57"/>
      <c r="C321" s="56"/>
      <c r="D321" s="56"/>
      <c r="E321" s="56"/>
      <c r="F321" s="56"/>
      <c r="G321" s="56"/>
      <c r="H321" s="56"/>
      <c r="I321" s="56"/>
      <c r="J321" s="56"/>
      <c r="K321" s="56"/>
    </row>
    <row r="322" ht="15.75" customHeight="1">
      <c r="A322" s="58"/>
      <c r="B322" s="59"/>
      <c r="C322" s="58"/>
      <c r="D322" s="58"/>
      <c r="E322" s="58"/>
      <c r="F322" s="58"/>
      <c r="G322" s="58"/>
      <c r="H322" s="58"/>
      <c r="I322" s="58"/>
      <c r="J322" s="58"/>
      <c r="K322" s="58"/>
    </row>
    <row r="323" ht="15.75" customHeight="1">
      <c r="A323" s="56"/>
      <c r="B323" s="57"/>
      <c r="C323" s="56"/>
      <c r="D323" s="56"/>
      <c r="E323" s="56"/>
      <c r="F323" s="56"/>
      <c r="G323" s="56"/>
      <c r="H323" s="56"/>
      <c r="I323" s="56"/>
      <c r="J323" s="56"/>
      <c r="K323" s="56"/>
    </row>
    <row r="324" ht="15.75" customHeight="1">
      <c r="A324" s="58"/>
      <c r="B324" s="59"/>
      <c r="C324" s="58"/>
      <c r="D324" s="58"/>
      <c r="E324" s="58"/>
      <c r="F324" s="58"/>
      <c r="G324" s="58"/>
      <c r="H324" s="58"/>
      <c r="I324" s="58"/>
      <c r="J324" s="58"/>
      <c r="K324" s="58"/>
    </row>
    <row r="325" ht="15.75" customHeight="1">
      <c r="A325" s="56"/>
      <c r="B325" s="57"/>
      <c r="C325" s="56"/>
      <c r="D325" s="56"/>
      <c r="E325" s="56"/>
      <c r="F325" s="56"/>
      <c r="G325" s="56"/>
      <c r="H325" s="56"/>
      <c r="I325" s="56"/>
      <c r="J325" s="56"/>
      <c r="K325" s="56"/>
    </row>
    <row r="326" ht="15.75" customHeight="1">
      <c r="A326" s="58"/>
      <c r="B326" s="59"/>
      <c r="C326" s="58"/>
      <c r="D326" s="58"/>
      <c r="E326" s="58"/>
      <c r="F326" s="58"/>
      <c r="G326" s="58"/>
      <c r="H326" s="58"/>
      <c r="I326" s="58"/>
      <c r="J326" s="58"/>
      <c r="K326" s="58"/>
    </row>
    <row r="327" ht="15.75" customHeight="1">
      <c r="A327" s="56"/>
      <c r="B327" s="57"/>
      <c r="C327" s="56"/>
      <c r="D327" s="56"/>
      <c r="E327" s="56"/>
      <c r="F327" s="56"/>
      <c r="G327" s="56"/>
      <c r="H327" s="56"/>
      <c r="I327" s="56"/>
      <c r="J327" s="56"/>
      <c r="K327" s="56"/>
    </row>
    <row r="328" ht="15.75" customHeight="1">
      <c r="A328" s="58"/>
      <c r="B328" s="59"/>
      <c r="C328" s="58"/>
      <c r="D328" s="58"/>
      <c r="E328" s="58"/>
      <c r="F328" s="58"/>
      <c r="G328" s="58"/>
      <c r="H328" s="58"/>
      <c r="I328" s="58"/>
      <c r="J328" s="58"/>
      <c r="K328" s="58"/>
    </row>
    <row r="329" ht="15.75" customHeight="1">
      <c r="A329" s="56"/>
      <c r="B329" s="57"/>
      <c r="C329" s="56"/>
      <c r="D329" s="56"/>
      <c r="E329" s="56"/>
      <c r="F329" s="56"/>
      <c r="G329" s="56"/>
      <c r="H329" s="56"/>
      <c r="I329" s="56"/>
      <c r="J329" s="56"/>
      <c r="K329" s="56"/>
    </row>
    <row r="330" ht="15.75" customHeight="1">
      <c r="A330" s="58"/>
      <c r="B330" s="59"/>
      <c r="C330" s="58"/>
      <c r="D330" s="58"/>
      <c r="E330" s="58"/>
      <c r="F330" s="58"/>
      <c r="G330" s="58"/>
      <c r="H330" s="58"/>
      <c r="I330" s="58"/>
      <c r="J330" s="58"/>
      <c r="K330" s="58"/>
    </row>
    <row r="331" ht="15.75" customHeight="1">
      <c r="A331" s="56"/>
      <c r="B331" s="57"/>
      <c r="C331" s="56"/>
      <c r="D331" s="56"/>
      <c r="E331" s="56"/>
      <c r="F331" s="56"/>
      <c r="G331" s="56"/>
      <c r="H331" s="56"/>
      <c r="I331" s="56"/>
      <c r="J331" s="56"/>
      <c r="K331" s="56"/>
    </row>
    <row r="332" ht="15.75" customHeight="1">
      <c r="A332" s="58"/>
      <c r="B332" s="59"/>
      <c r="C332" s="58"/>
      <c r="D332" s="58"/>
      <c r="E332" s="58"/>
      <c r="F332" s="58"/>
      <c r="G332" s="58"/>
      <c r="H332" s="58"/>
      <c r="I332" s="58"/>
      <c r="J332" s="58"/>
      <c r="K332" s="58"/>
    </row>
    <row r="333" ht="15.75" customHeight="1">
      <c r="A333" s="56"/>
      <c r="B333" s="57"/>
      <c r="C333" s="56"/>
      <c r="D333" s="56"/>
      <c r="E333" s="56"/>
      <c r="F333" s="56"/>
      <c r="G333" s="56"/>
      <c r="H333" s="56"/>
      <c r="I333" s="56"/>
      <c r="J333" s="56"/>
      <c r="K333" s="56"/>
    </row>
    <row r="334" ht="15.75" customHeight="1">
      <c r="A334" s="58"/>
      <c r="B334" s="59"/>
      <c r="C334" s="58"/>
      <c r="D334" s="58"/>
      <c r="E334" s="58"/>
      <c r="F334" s="58"/>
      <c r="G334" s="58"/>
      <c r="H334" s="58"/>
      <c r="I334" s="58"/>
      <c r="J334" s="58"/>
      <c r="K334" s="58"/>
    </row>
    <row r="335" ht="15.75" customHeight="1">
      <c r="A335" s="56"/>
      <c r="B335" s="57"/>
      <c r="C335" s="56"/>
      <c r="D335" s="56"/>
      <c r="E335" s="56"/>
      <c r="F335" s="56"/>
      <c r="G335" s="56"/>
      <c r="H335" s="56"/>
      <c r="I335" s="56"/>
      <c r="J335" s="56"/>
      <c r="K335" s="56"/>
    </row>
    <row r="336" ht="15.75" customHeight="1">
      <c r="A336" s="58"/>
      <c r="B336" s="59"/>
      <c r="C336" s="58"/>
      <c r="D336" s="58"/>
      <c r="E336" s="58"/>
      <c r="F336" s="58"/>
      <c r="G336" s="58"/>
      <c r="H336" s="58"/>
      <c r="I336" s="58"/>
      <c r="J336" s="58"/>
      <c r="K336" s="58"/>
    </row>
    <row r="337" ht="15.75" customHeight="1">
      <c r="A337" s="56"/>
      <c r="B337" s="57"/>
      <c r="C337" s="56"/>
      <c r="D337" s="56"/>
      <c r="E337" s="56"/>
      <c r="F337" s="56"/>
      <c r="G337" s="56"/>
      <c r="H337" s="56"/>
      <c r="I337" s="56"/>
      <c r="J337" s="56"/>
      <c r="K337" s="56"/>
    </row>
    <row r="338" ht="15.75" customHeight="1">
      <c r="A338" s="58"/>
      <c r="B338" s="59"/>
      <c r="C338" s="58"/>
      <c r="D338" s="58"/>
      <c r="E338" s="58"/>
      <c r="F338" s="58"/>
      <c r="G338" s="58"/>
      <c r="H338" s="58"/>
      <c r="I338" s="58"/>
      <c r="J338" s="58"/>
      <c r="K338" s="58"/>
    </row>
    <row r="339" ht="15.75" customHeight="1">
      <c r="A339" s="56"/>
      <c r="B339" s="57"/>
      <c r="C339" s="56"/>
      <c r="D339" s="56"/>
      <c r="E339" s="56"/>
      <c r="F339" s="56"/>
      <c r="G339" s="56"/>
      <c r="H339" s="56"/>
      <c r="I339" s="56"/>
      <c r="J339" s="56"/>
      <c r="K339" s="56"/>
    </row>
    <row r="340" ht="15.75" customHeight="1">
      <c r="A340" s="58"/>
      <c r="B340" s="59"/>
      <c r="C340" s="58"/>
      <c r="D340" s="58"/>
      <c r="E340" s="58"/>
      <c r="F340" s="58"/>
      <c r="G340" s="58"/>
      <c r="H340" s="58"/>
      <c r="I340" s="58"/>
      <c r="J340" s="58"/>
      <c r="K340" s="58"/>
    </row>
    <row r="341" ht="15.75" customHeight="1">
      <c r="A341" s="56"/>
      <c r="B341" s="57"/>
      <c r="C341" s="56"/>
      <c r="D341" s="56"/>
      <c r="E341" s="56"/>
      <c r="F341" s="56"/>
      <c r="G341" s="56"/>
      <c r="H341" s="56"/>
      <c r="I341" s="56"/>
      <c r="J341" s="56"/>
      <c r="K341" s="56"/>
    </row>
    <row r="342" ht="15.75" customHeight="1">
      <c r="A342" s="58"/>
      <c r="B342" s="59"/>
      <c r="C342" s="58"/>
      <c r="D342" s="58"/>
      <c r="E342" s="58"/>
      <c r="F342" s="58"/>
      <c r="G342" s="58"/>
      <c r="H342" s="58"/>
      <c r="I342" s="58"/>
      <c r="J342" s="58"/>
      <c r="K342" s="58"/>
    </row>
    <row r="343" ht="15.75" customHeight="1">
      <c r="A343" s="56"/>
      <c r="B343" s="57"/>
      <c r="C343" s="56"/>
      <c r="D343" s="56"/>
      <c r="E343" s="56"/>
      <c r="F343" s="56"/>
      <c r="G343" s="56"/>
      <c r="H343" s="56"/>
      <c r="I343" s="56"/>
      <c r="J343" s="56"/>
      <c r="K343" s="56"/>
    </row>
    <row r="344" ht="15.75" customHeight="1">
      <c r="A344" s="58"/>
      <c r="B344" s="59"/>
      <c r="C344" s="58"/>
      <c r="D344" s="58"/>
      <c r="E344" s="58"/>
      <c r="F344" s="58"/>
      <c r="G344" s="58"/>
      <c r="H344" s="58"/>
      <c r="I344" s="58"/>
      <c r="J344" s="58"/>
      <c r="K344" s="58"/>
    </row>
    <row r="345" ht="15.75" customHeight="1">
      <c r="A345" s="56"/>
      <c r="B345" s="57"/>
      <c r="C345" s="56"/>
      <c r="D345" s="56"/>
      <c r="E345" s="56"/>
      <c r="F345" s="56"/>
      <c r="G345" s="56"/>
      <c r="H345" s="56"/>
      <c r="I345" s="56"/>
      <c r="J345" s="56"/>
      <c r="K345" s="56"/>
    </row>
    <row r="346" ht="15.75" customHeight="1">
      <c r="A346" s="58"/>
      <c r="B346" s="59"/>
      <c r="C346" s="58"/>
      <c r="D346" s="58"/>
      <c r="E346" s="58"/>
      <c r="F346" s="58"/>
      <c r="G346" s="58"/>
      <c r="H346" s="58"/>
      <c r="I346" s="58"/>
      <c r="J346" s="58"/>
      <c r="K346" s="58"/>
    </row>
    <row r="347" ht="15.75" customHeight="1">
      <c r="A347" s="56"/>
      <c r="B347" s="57"/>
      <c r="C347" s="56"/>
      <c r="D347" s="56"/>
      <c r="E347" s="56"/>
      <c r="F347" s="56"/>
      <c r="G347" s="56"/>
      <c r="H347" s="56"/>
      <c r="I347" s="56"/>
      <c r="J347" s="56"/>
      <c r="K347" s="56"/>
    </row>
    <row r="348" ht="15.75" customHeight="1">
      <c r="A348" s="58"/>
      <c r="B348" s="59"/>
      <c r="C348" s="58"/>
      <c r="D348" s="58"/>
      <c r="E348" s="58"/>
      <c r="F348" s="58"/>
      <c r="G348" s="58"/>
      <c r="H348" s="58"/>
      <c r="I348" s="58"/>
      <c r="J348" s="58"/>
      <c r="K348" s="58"/>
    </row>
    <row r="349" ht="15.75" customHeight="1">
      <c r="A349" s="56"/>
      <c r="B349" s="57"/>
      <c r="C349" s="56"/>
      <c r="D349" s="56"/>
      <c r="E349" s="56"/>
      <c r="F349" s="56"/>
      <c r="G349" s="56"/>
      <c r="H349" s="56"/>
      <c r="I349" s="56"/>
      <c r="J349" s="56"/>
      <c r="K349" s="56"/>
    </row>
    <row r="350" ht="15.75" customHeight="1">
      <c r="A350" s="58"/>
      <c r="B350" s="59"/>
      <c r="C350" s="58"/>
      <c r="D350" s="58"/>
      <c r="E350" s="58"/>
      <c r="F350" s="58"/>
      <c r="G350" s="58"/>
      <c r="H350" s="58"/>
      <c r="I350" s="58"/>
      <c r="J350" s="58"/>
      <c r="K350" s="58"/>
    </row>
    <row r="351" ht="15.75" customHeight="1">
      <c r="A351" s="56"/>
      <c r="B351" s="57"/>
      <c r="C351" s="56"/>
      <c r="D351" s="56"/>
      <c r="E351" s="56"/>
      <c r="F351" s="56"/>
      <c r="G351" s="56"/>
      <c r="H351" s="56"/>
      <c r="I351" s="56"/>
      <c r="J351" s="56"/>
      <c r="K351" s="56"/>
    </row>
    <row r="352" ht="15.75" customHeight="1">
      <c r="A352" s="58"/>
      <c r="B352" s="59"/>
      <c r="C352" s="58"/>
      <c r="D352" s="58"/>
      <c r="E352" s="58"/>
      <c r="F352" s="58"/>
      <c r="G352" s="58"/>
      <c r="H352" s="58"/>
      <c r="I352" s="58"/>
      <c r="J352" s="58"/>
      <c r="K352" s="58"/>
    </row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</sheetData>
  <autoFilter ref="$B$11:$K$1160"/>
  <mergeCells count="4">
    <mergeCell ref="B1:K2"/>
    <mergeCell ref="G5:I5"/>
    <mergeCell ref="G8:I8"/>
    <mergeCell ref="G9:I9"/>
  </mergeCells>
  <conditionalFormatting sqref="I12:I152">
    <cfRule type="cellIs" dxfId="0" priority="1" operator="equal">
      <formula>"NÃO ATENDE QTD. MÍNIMA"</formula>
    </cfRule>
  </conditionalFormatting>
  <conditionalFormatting sqref="I12:I152">
    <cfRule type="cellIs" dxfId="1" priority="2" operator="equal">
      <formula>"ATENDE QTD. MÍNIMA"</formula>
    </cfRule>
  </conditionalFormatting>
  <dataValidations>
    <dataValidation type="decimal" allowBlank="1" showDropDown="1" showErrorMessage="1" sqref="H12:H110">
      <formula1>0.0</formula1>
      <formula2>1000000.0</formula2>
    </dataValidation>
  </dataValidations>
  <hyperlinks>
    <hyperlink r:id="rId1" ref="D6"/>
  </hyperlinks>
  <printOptions/>
  <pageMargins bottom="0.787401575" footer="0.0" header="0.0" left="0.511811024" right="0.511811024" top="0.7874015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5.5"/>
    <col customWidth="1" min="2" max="2" width="23.0"/>
    <col customWidth="1" min="3" max="3" width="47.13"/>
    <col customWidth="1" min="4" max="6" width="12.63"/>
  </cols>
  <sheetData>
    <row r="1" ht="15.75" customHeight="1">
      <c r="A1" s="4" t="s">
        <v>22</v>
      </c>
      <c r="B1" s="4" t="s">
        <v>23</v>
      </c>
      <c r="C1" s="4" t="s">
        <v>13</v>
      </c>
      <c r="D1" s="4" t="s">
        <v>24</v>
      </c>
      <c r="E1" s="4" t="s">
        <v>25</v>
      </c>
      <c r="F1" s="4" t="s">
        <v>26</v>
      </c>
    </row>
    <row r="2" ht="15.75" customHeight="1">
      <c r="A2" s="4" t="s">
        <v>27</v>
      </c>
      <c r="B2" s="4">
        <v>124.0</v>
      </c>
      <c r="C2" s="4" t="s">
        <v>28</v>
      </c>
      <c r="D2" s="4" t="s">
        <v>29</v>
      </c>
      <c r="E2" s="4" t="s">
        <v>30</v>
      </c>
    </row>
    <row r="3" ht="15.75" customHeight="1">
      <c r="A3" s="4" t="s">
        <v>31</v>
      </c>
      <c r="B3" s="4">
        <v>1.0</v>
      </c>
      <c r="C3" s="4" t="s">
        <v>32</v>
      </c>
      <c r="D3" s="4" t="s">
        <v>33</v>
      </c>
      <c r="E3" s="4" t="s">
        <v>34</v>
      </c>
      <c r="F3" s="4" t="s">
        <v>35</v>
      </c>
    </row>
    <row r="4" ht="15.75" customHeight="1">
      <c r="A4" s="4" t="s">
        <v>36</v>
      </c>
      <c r="B4" s="4">
        <v>125.0</v>
      </c>
      <c r="C4" s="4" t="s">
        <v>37</v>
      </c>
      <c r="D4" s="4" t="s">
        <v>38</v>
      </c>
      <c r="E4" s="4" t="s">
        <v>34</v>
      </c>
    </row>
    <row r="5" ht="15.75" customHeight="1">
      <c r="A5" s="4" t="s">
        <v>39</v>
      </c>
      <c r="B5" s="4">
        <v>2.0</v>
      </c>
      <c r="C5" s="4" t="s">
        <v>40</v>
      </c>
      <c r="D5" s="4" t="s">
        <v>41</v>
      </c>
      <c r="E5" s="4" t="s">
        <v>42</v>
      </c>
      <c r="F5" s="4" t="s">
        <v>35</v>
      </c>
    </row>
    <row r="6" ht="15.75" customHeight="1">
      <c r="A6" s="4" t="s">
        <v>43</v>
      </c>
      <c r="B6" s="4">
        <v>69.0</v>
      </c>
      <c r="C6" s="4" t="s">
        <v>44</v>
      </c>
      <c r="D6" s="4" t="s">
        <v>45</v>
      </c>
      <c r="E6" s="4" t="s">
        <v>42</v>
      </c>
    </row>
    <row r="7" ht="15.75" customHeight="1">
      <c r="A7" s="4" t="s">
        <v>46</v>
      </c>
      <c r="B7" s="4">
        <v>5.0</v>
      </c>
      <c r="C7" s="4" t="s">
        <v>47</v>
      </c>
      <c r="D7" s="4" t="s">
        <v>45</v>
      </c>
      <c r="E7" s="4" t="s">
        <v>34</v>
      </c>
      <c r="F7" s="4" t="s">
        <v>48</v>
      </c>
    </row>
    <row r="8" ht="15.75" customHeight="1">
      <c r="A8" s="4" t="s">
        <v>49</v>
      </c>
      <c r="B8" s="4">
        <v>3.0</v>
      </c>
      <c r="C8" s="4" t="s">
        <v>50</v>
      </c>
      <c r="D8" s="4" t="s">
        <v>45</v>
      </c>
      <c r="E8" s="4" t="s">
        <v>34</v>
      </c>
      <c r="F8" s="4" t="s">
        <v>35</v>
      </c>
    </row>
    <row r="9" ht="15.75" customHeight="1">
      <c r="A9" s="4" t="s">
        <v>51</v>
      </c>
      <c r="B9" s="4">
        <v>6.0</v>
      </c>
      <c r="C9" s="4" t="s">
        <v>52</v>
      </c>
      <c r="D9" s="4" t="s">
        <v>45</v>
      </c>
      <c r="E9" s="4" t="s">
        <v>34</v>
      </c>
      <c r="F9" s="4" t="s">
        <v>35</v>
      </c>
    </row>
    <row r="10" ht="15.75" customHeight="1">
      <c r="A10" s="4" t="s">
        <v>53</v>
      </c>
      <c r="B10" s="4">
        <v>4.0</v>
      </c>
      <c r="C10" s="4" t="s">
        <v>54</v>
      </c>
      <c r="D10" s="4" t="s">
        <v>45</v>
      </c>
      <c r="E10" s="4" t="s">
        <v>34</v>
      </c>
      <c r="F10" s="4" t="s">
        <v>48</v>
      </c>
    </row>
    <row r="11" ht="15.75" customHeight="1">
      <c r="A11" s="4" t="s">
        <v>55</v>
      </c>
      <c r="B11" s="4">
        <v>7.0</v>
      </c>
      <c r="C11" s="4" t="s">
        <v>56</v>
      </c>
      <c r="D11" s="4" t="s">
        <v>45</v>
      </c>
      <c r="E11" s="4" t="s">
        <v>34</v>
      </c>
      <c r="F11" s="4" t="s">
        <v>57</v>
      </c>
    </row>
    <row r="12" ht="15.75" customHeight="1">
      <c r="A12" s="4" t="s">
        <v>58</v>
      </c>
      <c r="B12" s="4">
        <v>8.0</v>
      </c>
      <c r="C12" s="4" t="s">
        <v>59</v>
      </c>
      <c r="D12" s="4" t="s">
        <v>45</v>
      </c>
      <c r="E12" s="4" t="s">
        <v>34</v>
      </c>
      <c r="F12" s="4" t="s">
        <v>60</v>
      </c>
    </row>
    <row r="13" ht="15.75" customHeight="1">
      <c r="A13" s="4" t="s">
        <v>61</v>
      </c>
      <c r="B13" s="4">
        <v>9.0</v>
      </c>
      <c r="C13" s="4" t="s">
        <v>62</v>
      </c>
      <c r="D13" s="4" t="s">
        <v>63</v>
      </c>
      <c r="E13" s="4" t="s">
        <v>34</v>
      </c>
      <c r="F13" s="4" t="s">
        <v>35</v>
      </c>
    </row>
    <row r="14" ht="15.75" customHeight="1">
      <c r="A14" s="4" t="s">
        <v>64</v>
      </c>
      <c r="B14" s="4">
        <v>120.0</v>
      </c>
      <c r="C14" s="4" t="s">
        <v>65</v>
      </c>
      <c r="D14" s="4" t="s">
        <v>63</v>
      </c>
      <c r="E14" s="4" t="s">
        <v>66</v>
      </c>
    </row>
    <row r="15" ht="15.75" customHeight="1">
      <c r="A15" s="4" t="s">
        <v>67</v>
      </c>
      <c r="B15" s="4">
        <v>10.0</v>
      </c>
      <c r="C15" s="4" t="s">
        <v>68</v>
      </c>
      <c r="D15" s="4" t="s">
        <v>41</v>
      </c>
      <c r="E15" s="4" t="s">
        <v>42</v>
      </c>
      <c r="F15" s="4" t="s">
        <v>35</v>
      </c>
    </row>
    <row r="16" ht="15.75" customHeight="1">
      <c r="A16" s="4" t="s">
        <v>69</v>
      </c>
      <c r="B16" s="4">
        <v>11.0</v>
      </c>
      <c r="C16" s="4" t="s">
        <v>70</v>
      </c>
      <c r="D16" s="4" t="s">
        <v>45</v>
      </c>
      <c r="E16" s="4" t="s">
        <v>34</v>
      </c>
      <c r="F16" s="4" t="s">
        <v>57</v>
      </c>
    </row>
    <row r="17" ht="15.75" customHeight="1">
      <c r="A17" s="4" t="s">
        <v>71</v>
      </c>
      <c r="B17" s="4">
        <v>12.0</v>
      </c>
      <c r="C17" s="4" t="s">
        <v>72</v>
      </c>
      <c r="D17" s="4" t="s">
        <v>45</v>
      </c>
      <c r="E17" s="4" t="s">
        <v>34</v>
      </c>
      <c r="F17" s="4" t="s">
        <v>73</v>
      </c>
    </row>
    <row r="18" ht="15.75" customHeight="1">
      <c r="A18" s="4" t="s">
        <v>74</v>
      </c>
      <c r="B18" s="4">
        <v>13.0</v>
      </c>
      <c r="C18" s="4" t="s">
        <v>75</v>
      </c>
      <c r="D18" s="4" t="s">
        <v>76</v>
      </c>
      <c r="E18" s="4" t="s">
        <v>66</v>
      </c>
      <c r="F18" s="4" t="s">
        <v>35</v>
      </c>
    </row>
    <row r="19" ht="15.75" customHeight="1">
      <c r="A19" s="4" t="s">
        <v>77</v>
      </c>
      <c r="B19" s="4">
        <v>70.0</v>
      </c>
      <c r="C19" s="4" t="s">
        <v>78</v>
      </c>
      <c r="D19" s="4" t="s">
        <v>29</v>
      </c>
      <c r="E19" s="4" t="s">
        <v>30</v>
      </c>
    </row>
    <row r="20" ht="15.75" customHeight="1">
      <c r="A20" s="4" t="s">
        <v>79</v>
      </c>
      <c r="B20" s="4">
        <v>71.0</v>
      </c>
      <c r="C20" s="4" t="s">
        <v>80</v>
      </c>
      <c r="D20" s="4" t="s">
        <v>29</v>
      </c>
      <c r="E20" s="4" t="s">
        <v>30</v>
      </c>
    </row>
    <row r="21" ht="15.75" customHeight="1">
      <c r="A21" s="4" t="s">
        <v>81</v>
      </c>
      <c r="B21" s="4">
        <v>98.0</v>
      </c>
      <c r="C21" s="4" t="s">
        <v>82</v>
      </c>
      <c r="D21" s="4" t="s">
        <v>63</v>
      </c>
      <c r="E21" s="4" t="s">
        <v>34</v>
      </c>
    </row>
    <row r="22" ht="15.75" customHeight="1">
      <c r="A22" s="4" t="s">
        <v>83</v>
      </c>
      <c r="B22" s="4">
        <v>14.0</v>
      </c>
      <c r="C22" s="4" t="s">
        <v>84</v>
      </c>
      <c r="D22" s="4" t="s">
        <v>63</v>
      </c>
      <c r="E22" s="4" t="s">
        <v>34</v>
      </c>
      <c r="F22" s="4" t="s">
        <v>73</v>
      </c>
    </row>
    <row r="23" ht="15.75" customHeight="1">
      <c r="A23" s="4" t="s">
        <v>85</v>
      </c>
      <c r="B23" s="4">
        <v>15.0</v>
      </c>
      <c r="C23" s="4" t="s">
        <v>86</v>
      </c>
      <c r="D23" s="4" t="s">
        <v>63</v>
      </c>
      <c r="E23" s="4" t="s">
        <v>34</v>
      </c>
      <c r="F23" s="4" t="s">
        <v>73</v>
      </c>
    </row>
    <row r="24" ht="15.75" customHeight="1">
      <c r="A24" s="4" t="s">
        <v>87</v>
      </c>
      <c r="B24" s="4">
        <v>16.0</v>
      </c>
      <c r="C24" s="4" t="s">
        <v>88</v>
      </c>
      <c r="D24" s="4" t="s">
        <v>41</v>
      </c>
      <c r="E24" s="4" t="s">
        <v>34</v>
      </c>
      <c r="F24" s="4" t="s">
        <v>35</v>
      </c>
    </row>
    <row r="25" ht="15.75" customHeight="1">
      <c r="A25" s="4" t="s">
        <v>89</v>
      </c>
      <c r="B25" s="4">
        <v>17.0</v>
      </c>
      <c r="C25" s="4" t="s">
        <v>90</v>
      </c>
      <c r="D25" s="4" t="s">
        <v>41</v>
      </c>
      <c r="E25" s="4" t="s">
        <v>34</v>
      </c>
      <c r="F25" s="4" t="s">
        <v>35</v>
      </c>
    </row>
    <row r="26" ht="15.75" customHeight="1">
      <c r="A26" s="4" t="s">
        <v>91</v>
      </c>
      <c r="B26" s="4">
        <v>126.0</v>
      </c>
      <c r="C26" s="4" t="s">
        <v>92</v>
      </c>
      <c r="D26" s="4" t="s">
        <v>93</v>
      </c>
      <c r="E26" s="4" t="s">
        <v>94</v>
      </c>
    </row>
    <row r="27" ht="15.75" customHeight="1">
      <c r="A27" s="4" t="s">
        <v>95</v>
      </c>
      <c r="B27" s="4">
        <v>18.0</v>
      </c>
      <c r="C27" s="4" t="s">
        <v>96</v>
      </c>
      <c r="D27" s="4" t="s">
        <v>97</v>
      </c>
      <c r="E27" s="4" t="s">
        <v>94</v>
      </c>
      <c r="F27" s="4" t="s">
        <v>98</v>
      </c>
    </row>
    <row r="28" ht="15.75" customHeight="1">
      <c r="A28" s="4" t="s">
        <v>99</v>
      </c>
      <c r="B28" s="4">
        <v>19.0</v>
      </c>
      <c r="C28" s="4" t="s">
        <v>100</v>
      </c>
      <c r="D28" s="4" t="s">
        <v>97</v>
      </c>
      <c r="E28" s="4" t="s">
        <v>94</v>
      </c>
      <c r="F28" s="4" t="s">
        <v>60</v>
      </c>
    </row>
    <row r="29" ht="15.75" customHeight="1">
      <c r="A29" s="4" t="s">
        <v>101</v>
      </c>
      <c r="B29" s="4"/>
      <c r="C29" s="4"/>
      <c r="D29" s="4" t="s">
        <v>97</v>
      </c>
      <c r="E29" s="4" t="s">
        <v>94</v>
      </c>
      <c r="F29" s="4" t="s">
        <v>60</v>
      </c>
    </row>
    <row r="30" ht="15.75" customHeight="1">
      <c r="A30" s="4" t="s">
        <v>102</v>
      </c>
      <c r="B30" s="4"/>
      <c r="C30" s="4"/>
      <c r="D30" s="4" t="s">
        <v>97</v>
      </c>
      <c r="E30" s="4" t="s">
        <v>94</v>
      </c>
      <c r="F30" s="4" t="s">
        <v>60</v>
      </c>
    </row>
    <row r="31" ht="15.75" customHeight="1">
      <c r="A31" s="4" t="s">
        <v>103</v>
      </c>
      <c r="B31" s="4">
        <v>20.0</v>
      </c>
      <c r="C31" s="4" t="s">
        <v>104</v>
      </c>
      <c r="D31" s="4" t="s">
        <v>97</v>
      </c>
      <c r="E31" s="4" t="s">
        <v>94</v>
      </c>
      <c r="F31" s="4" t="s">
        <v>57</v>
      </c>
    </row>
    <row r="32" ht="15.75" customHeight="1">
      <c r="A32" s="4" t="s">
        <v>105</v>
      </c>
      <c r="B32" s="4">
        <v>21.0</v>
      </c>
      <c r="C32" s="4" t="s">
        <v>106</v>
      </c>
      <c r="D32" s="4" t="s">
        <v>97</v>
      </c>
      <c r="E32" s="4" t="s">
        <v>94</v>
      </c>
      <c r="F32" s="4" t="s">
        <v>73</v>
      </c>
    </row>
    <row r="33" ht="15.75" customHeight="1">
      <c r="A33" s="4" t="s">
        <v>107</v>
      </c>
      <c r="B33" s="4"/>
      <c r="C33" s="4"/>
      <c r="D33" s="4" t="s">
        <v>97</v>
      </c>
      <c r="E33" s="4" t="s">
        <v>94</v>
      </c>
      <c r="F33" s="4" t="s">
        <v>108</v>
      </c>
    </row>
    <row r="34" ht="15.75" customHeight="1">
      <c r="A34" s="4" t="s">
        <v>109</v>
      </c>
      <c r="B34" s="4">
        <v>22.0</v>
      </c>
      <c r="C34" s="4" t="s">
        <v>110</v>
      </c>
      <c r="D34" s="4" t="s">
        <v>93</v>
      </c>
      <c r="E34" s="4" t="s">
        <v>94</v>
      </c>
      <c r="F34" s="4" t="s">
        <v>35</v>
      </c>
    </row>
    <row r="35" ht="15.75" customHeight="1">
      <c r="A35" s="4" t="s">
        <v>111</v>
      </c>
      <c r="B35" s="4">
        <v>88.0</v>
      </c>
      <c r="C35" s="4" t="s">
        <v>112</v>
      </c>
      <c r="D35" s="4" t="s">
        <v>97</v>
      </c>
      <c r="E35" s="4" t="s">
        <v>94</v>
      </c>
      <c r="F35" s="4" t="s">
        <v>60</v>
      </c>
    </row>
    <row r="36" ht="15.75" customHeight="1">
      <c r="A36" s="4" t="s">
        <v>113</v>
      </c>
      <c r="B36" s="4">
        <v>23.0</v>
      </c>
      <c r="C36" s="4" t="s">
        <v>114</v>
      </c>
      <c r="D36" s="4" t="s">
        <v>97</v>
      </c>
      <c r="E36" s="4" t="s">
        <v>94</v>
      </c>
      <c r="F36" s="4" t="s">
        <v>115</v>
      </c>
    </row>
    <row r="37" ht="15.75" customHeight="1">
      <c r="A37" s="4" t="s">
        <v>116</v>
      </c>
      <c r="B37" s="4">
        <v>24.0</v>
      </c>
      <c r="C37" s="4" t="s">
        <v>117</v>
      </c>
      <c r="D37" s="4" t="s">
        <v>97</v>
      </c>
      <c r="E37" s="4" t="s">
        <v>94</v>
      </c>
      <c r="F37" s="4" t="s">
        <v>118</v>
      </c>
    </row>
    <row r="38" ht="15.75" customHeight="1">
      <c r="A38" s="4" t="s">
        <v>119</v>
      </c>
      <c r="B38" s="4">
        <v>25.0</v>
      </c>
      <c r="C38" s="4" t="s">
        <v>120</v>
      </c>
      <c r="D38" s="4" t="s">
        <v>97</v>
      </c>
      <c r="E38" s="4" t="s">
        <v>94</v>
      </c>
      <c r="F38" s="4" t="s">
        <v>35</v>
      </c>
    </row>
    <row r="39" ht="15.75" customHeight="1">
      <c r="A39" s="4" t="s">
        <v>121</v>
      </c>
      <c r="B39" s="4">
        <v>114.0</v>
      </c>
      <c r="C39" s="4" t="s">
        <v>122</v>
      </c>
      <c r="D39" s="4" t="s">
        <v>97</v>
      </c>
      <c r="E39" s="4" t="s">
        <v>94</v>
      </c>
      <c r="F39" s="4" t="s">
        <v>118</v>
      </c>
    </row>
    <row r="40" ht="15.75" customHeight="1">
      <c r="A40" s="4" t="s">
        <v>123</v>
      </c>
      <c r="B40" s="4">
        <v>26.0</v>
      </c>
      <c r="C40" s="4" t="s">
        <v>124</v>
      </c>
      <c r="D40" s="4" t="s">
        <v>97</v>
      </c>
      <c r="E40" s="4" t="s">
        <v>94</v>
      </c>
      <c r="F40" s="4" t="s">
        <v>60</v>
      </c>
    </row>
    <row r="41" ht="15.75" customHeight="1">
      <c r="A41" s="4" t="s">
        <v>125</v>
      </c>
      <c r="B41" s="4">
        <v>27.0</v>
      </c>
      <c r="C41" s="4" t="s">
        <v>126</v>
      </c>
      <c r="D41" s="4" t="s">
        <v>97</v>
      </c>
      <c r="E41" s="4" t="s">
        <v>94</v>
      </c>
      <c r="F41" s="4" t="s">
        <v>118</v>
      </c>
    </row>
    <row r="42" ht="15.75" customHeight="1">
      <c r="A42" s="4" t="s">
        <v>127</v>
      </c>
      <c r="B42" s="4">
        <v>28.0</v>
      </c>
      <c r="C42" s="4" t="s">
        <v>128</v>
      </c>
      <c r="D42" s="4" t="s">
        <v>97</v>
      </c>
      <c r="E42" s="4" t="s">
        <v>94</v>
      </c>
      <c r="F42" s="4" t="s">
        <v>118</v>
      </c>
    </row>
    <row r="43" ht="15.75" customHeight="1">
      <c r="A43" s="4" t="s">
        <v>129</v>
      </c>
      <c r="B43" s="4">
        <v>29.0</v>
      </c>
      <c r="C43" s="4" t="s">
        <v>130</v>
      </c>
      <c r="D43" s="4" t="s">
        <v>97</v>
      </c>
      <c r="E43" s="4" t="s">
        <v>94</v>
      </c>
      <c r="F43" s="4"/>
    </row>
    <row r="44" ht="15.75" customHeight="1">
      <c r="A44" s="4" t="s">
        <v>131</v>
      </c>
      <c r="B44" s="4">
        <v>94.0</v>
      </c>
      <c r="C44" s="4" t="s">
        <v>132</v>
      </c>
      <c r="D44" s="4"/>
      <c r="E44" s="4"/>
      <c r="F44" s="4"/>
    </row>
    <row r="45" ht="15.75" customHeight="1">
      <c r="A45" s="4" t="s">
        <v>133</v>
      </c>
      <c r="B45" s="4">
        <v>134.0</v>
      </c>
      <c r="C45" s="4" t="s">
        <v>97</v>
      </c>
      <c r="D45" s="4"/>
      <c r="E45" s="4"/>
      <c r="F45" s="4"/>
    </row>
    <row r="46" ht="15.75" customHeight="1">
      <c r="A46" s="4" t="s">
        <v>134</v>
      </c>
      <c r="B46" s="4">
        <v>135.0</v>
      </c>
      <c r="C46" s="4" t="s">
        <v>97</v>
      </c>
      <c r="D46" s="4" t="s">
        <v>135</v>
      </c>
      <c r="E46" s="4" t="s">
        <v>34</v>
      </c>
      <c r="F46" s="4" t="s">
        <v>35</v>
      </c>
    </row>
    <row r="47" ht="15.75" customHeight="1">
      <c r="A47" s="4" t="s">
        <v>136</v>
      </c>
      <c r="B47" s="4">
        <v>30.0</v>
      </c>
      <c r="C47" s="4" t="s">
        <v>137</v>
      </c>
      <c r="D47" s="4" t="s">
        <v>135</v>
      </c>
      <c r="E47" s="4" t="s">
        <v>34</v>
      </c>
      <c r="F47" s="4" t="s">
        <v>57</v>
      </c>
    </row>
    <row r="48" ht="15.75" customHeight="1">
      <c r="A48" s="4" t="s">
        <v>138</v>
      </c>
      <c r="B48" s="4">
        <v>31.0</v>
      </c>
      <c r="C48" s="4" t="s">
        <v>139</v>
      </c>
      <c r="D48" s="4" t="s">
        <v>140</v>
      </c>
      <c r="E48" s="4" t="s">
        <v>34</v>
      </c>
      <c r="F48" s="4" t="s">
        <v>141</v>
      </c>
    </row>
    <row r="49" ht="15.75" customHeight="1">
      <c r="A49" s="4" t="s">
        <v>142</v>
      </c>
      <c r="B49" s="4">
        <v>32.0</v>
      </c>
      <c r="C49" s="4" t="s">
        <v>143</v>
      </c>
      <c r="D49" s="4" t="s">
        <v>76</v>
      </c>
      <c r="E49" s="4" t="s">
        <v>34</v>
      </c>
      <c r="F49" s="4" t="s">
        <v>57</v>
      </c>
    </row>
    <row r="50" ht="15.75" customHeight="1">
      <c r="A50" s="4" t="s">
        <v>144</v>
      </c>
      <c r="B50" s="4">
        <v>33.0</v>
      </c>
      <c r="C50" s="4" t="s">
        <v>145</v>
      </c>
      <c r="D50" s="4" t="s">
        <v>76</v>
      </c>
      <c r="E50" s="4" t="s">
        <v>42</v>
      </c>
      <c r="F50" s="4" t="s">
        <v>146</v>
      </c>
    </row>
    <row r="51" ht="15.75" customHeight="1">
      <c r="A51" s="4" t="s">
        <v>147</v>
      </c>
      <c r="B51" s="4">
        <v>34.0</v>
      </c>
      <c r="C51" s="4" t="s">
        <v>148</v>
      </c>
      <c r="D51" s="4" t="s">
        <v>45</v>
      </c>
      <c r="E51" s="4" t="s">
        <v>34</v>
      </c>
      <c r="F51" s="4" t="s">
        <v>35</v>
      </c>
    </row>
    <row r="52" ht="15.75" customHeight="1">
      <c r="A52" s="4" t="s">
        <v>149</v>
      </c>
      <c r="B52" s="4">
        <v>35.0</v>
      </c>
      <c r="C52" s="4" t="s">
        <v>150</v>
      </c>
      <c r="D52" s="4" t="s">
        <v>41</v>
      </c>
      <c r="E52" s="4" t="s">
        <v>42</v>
      </c>
      <c r="F52" s="4"/>
    </row>
    <row r="53" ht="15.75" customHeight="1">
      <c r="A53" s="4" t="s">
        <v>151</v>
      </c>
      <c r="B53" s="4">
        <v>79.0</v>
      </c>
      <c r="C53" s="4" t="s">
        <v>152</v>
      </c>
      <c r="D53" s="4" t="s">
        <v>45</v>
      </c>
      <c r="E53" s="4" t="s">
        <v>66</v>
      </c>
      <c r="F53" s="4"/>
    </row>
    <row r="54" ht="15.75" customHeight="1">
      <c r="A54" s="4" t="s">
        <v>153</v>
      </c>
      <c r="B54" s="4">
        <v>105.0</v>
      </c>
      <c r="C54" s="4" t="s">
        <v>154</v>
      </c>
      <c r="D54" s="4" t="s">
        <v>45</v>
      </c>
      <c r="E54" s="4" t="s">
        <v>34</v>
      </c>
    </row>
    <row r="55" ht="15.75" customHeight="1">
      <c r="A55" s="4" t="s">
        <v>155</v>
      </c>
      <c r="B55" s="4">
        <v>127.0</v>
      </c>
      <c r="C55" s="4" t="s">
        <v>156</v>
      </c>
      <c r="D55" s="4" t="s">
        <v>33</v>
      </c>
      <c r="E55" s="4" t="s">
        <v>34</v>
      </c>
      <c r="F55" s="4" t="s">
        <v>35</v>
      </c>
    </row>
    <row r="56" ht="15.75" customHeight="1">
      <c r="A56" s="4" t="s">
        <v>157</v>
      </c>
      <c r="B56" s="4">
        <v>36.0</v>
      </c>
      <c r="C56" s="4" t="s">
        <v>158</v>
      </c>
      <c r="D56" s="4" t="s">
        <v>159</v>
      </c>
      <c r="E56" s="4" t="s">
        <v>94</v>
      </c>
      <c r="F56" s="4" t="s">
        <v>35</v>
      </c>
    </row>
    <row r="57" ht="15.75" customHeight="1">
      <c r="A57" s="4" t="s">
        <v>160</v>
      </c>
      <c r="B57" s="4">
        <v>37.0</v>
      </c>
      <c r="C57" s="4" t="s">
        <v>161</v>
      </c>
      <c r="D57" s="4"/>
      <c r="E57" s="4"/>
    </row>
    <row r="58" ht="15.75" customHeight="1">
      <c r="A58" s="4" t="s">
        <v>162</v>
      </c>
      <c r="B58" s="4">
        <v>109.0</v>
      </c>
      <c r="C58" s="4" t="s">
        <v>163</v>
      </c>
      <c r="D58" s="4" t="s">
        <v>164</v>
      </c>
      <c r="E58" s="4" t="s">
        <v>165</v>
      </c>
      <c r="F58" s="4"/>
    </row>
    <row r="59" ht="15.75" customHeight="1">
      <c r="A59" s="4" t="s">
        <v>166</v>
      </c>
      <c r="B59" s="4">
        <v>104.0</v>
      </c>
      <c r="C59" s="4" t="s">
        <v>164</v>
      </c>
      <c r="D59" s="4" t="s">
        <v>76</v>
      </c>
      <c r="E59" s="4" t="s">
        <v>42</v>
      </c>
      <c r="F59" s="4" t="s">
        <v>35</v>
      </c>
    </row>
    <row r="60" ht="15.75" customHeight="1">
      <c r="A60" s="4" t="s">
        <v>167</v>
      </c>
      <c r="B60" s="4">
        <v>38.0</v>
      </c>
      <c r="C60" s="4" t="s">
        <v>168</v>
      </c>
      <c r="D60" s="4" t="s">
        <v>41</v>
      </c>
      <c r="E60" s="4" t="s">
        <v>169</v>
      </c>
      <c r="F60" s="4"/>
    </row>
    <row r="61" ht="15.75" customHeight="1">
      <c r="A61" s="4" t="s">
        <v>170</v>
      </c>
      <c r="B61" s="4">
        <v>115.0</v>
      </c>
      <c r="C61" s="4" t="s">
        <v>41</v>
      </c>
      <c r="D61" s="4" t="s">
        <v>45</v>
      </c>
      <c r="E61" s="4" t="s">
        <v>34</v>
      </c>
      <c r="F61" s="4" t="s">
        <v>118</v>
      </c>
    </row>
    <row r="62" ht="15.75" customHeight="1">
      <c r="A62" s="4" t="s">
        <v>171</v>
      </c>
      <c r="B62" s="4">
        <v>39.0</v>
      </c>
      <c r="C62" s="4" t="s">
        <v>172</v>
      </c>
      <c r="D62" s="4"/>
      <c r="E62" s="4"/>
      <c r="F62" s="4"/>
    </row>
    <row r="63" ht="15.75" customHeight="1">
      <c r="A63" s="4" t="s">
        <v>173</v>
      </c>
      <c r="B63" s="4">
        <v>136.0</v>
      </c>
      <c r="C63" s="4" t="s">
        <v>174</v>
      </c>
      <c r="D63" s="4" t="s">
        <v>175</v>
      </c>
      <c r="E63" s="4" t="s">
        <v>34</v>
      </c>
      <c r="F63" s="4" t="s">
        <v>35</v>
      </c>
    </row>
    <row r="64" ht="15.75" customHeight="1">
      <c r="A64" s="4" t="s">
        <v>176</v>
      </c>
      <c r="B64" s="4">
        <v>40.0</v>
      </c>
      <c r="C64" s="4" t="s">
        <v>177</v>
      </c>
      <c r="D64" s="4" t="s">
        <v>178</v>
      </c>
      <c r="E64" s="4" t="s">
        <v>34</v>
      </c>
    </row>
    <row r="65" ht="15.75" customHeight="1">
      <c r="A65" s="4" t="s">
        <v>179</v>
      </c>
      <c r="B65" s="4">
        <v>89.0</v>
      </c>
      <c r="C65" s="4" t="s">
        <v>180</v>
      </c>
      <c r="D65" s="4" t="s">
        <v>45</v>
      </c>
      <c r="E65" s="4" t="s">
        <v>34</v>
      </c>
      <c r="F65" s="4" t="s">
        <v>35</v>
      </c>
    </row>
    <row r="66" ht="15.75" customHeight="1">
      <c r="A66" s="4" t="s">
        <v>181</v>
      </c>
      <c r="B66" s="4">
        <v>41.0</v>
      </c>
      <c r="C66" s="4" t="s">
        <v>182</v>
      </c>
      <c r="D66" s="4" t="s">
        <v>45</v>
      </c>
      <c r="E66" s="4" t="s">
        <v>42</v>
      </c>
      <c r="F66" s="4" t="s">
        <v>118</v>
      </c>
    </row>
    <row r="67" ht="15.75" customHeight="1">
      <c r="A67" s="4" t="s">
        <v>183</v>
      </c>
      <c r="B67" s="4">
        <v>42.0</v>
      </c>
      <c r="C67" s="4" t="s">
        <v>184</v>
      </c>
      <c r="D67" s="4" t="s">
        <v>41</v>
      </c>
      <c r="E67" s="4" t="s">
        <v>169</v>
      </c>
      <c r="F67" s="4"/>
    </row>
    <row r="68" ht="15.75" customHeight="1">
      <c r="A68" s="4" t="s">
        <v>185</v>
      </c>
      <c r="B68" s="4">
        <v>116.0</v>
      </c>
      <c r="C68" s="4" t="s">
        <v>186</v>
      </c>
      <c r="D68" s="4"/>
      <c r="E68" s="4" t="s">
        <v>34</v>
      </c>
    </row>
    <row r="69" ht="15.75" customHeight="1">
      <c r="A69" s="4" t="s">
        <v>187</v>
      </c>
      <c r="B69" s="4">
        <v>72.0</v>
      </c>
      <c r="C69" s="4" t="s">
        <v>188</v>
      </c>
      <c r="D69" s="4" t="s">
        <v>45</v>
      </c>
      <c r="E69" s="4" t="s">
        <v>66</v>
      </c>
      <c r="F69" s="4"/>
    </row>
    <row r="70" ht="15.75" customHeight="1">
      <c r="A70" s="4" t="s">
        <v>189</v>
      </c>
      <c r="B70" s="4">
        <v>128.0</v>
      </c>
      <c r="C70" s="4" t="s">
        <v>45</v>
      </c>
      <c r="D70" s="4" t="s">
        <v>63</v>
      </c>
      <c r="E70" s="4" t="s">
        <v>34</v>
      </c>
      <c r="F70" s="4" t="s">
        <v>35</v>
      </c>
    </row>
    <row r="71" ht="15.75" customHeight="1">
      <c r="A71" s="4" t="s">
        <v>190</v>
      </c>
      <c r="B71" s="4">
        <v>43.0</v>
      </c>
      <c r="C71" s="4" t="s">
        <v>191</v>
      </c>
      <c r="D71" s="4" t="s">
        <v>192</v>
      </c>
      <c r="E71" s="4" t="s">
        <v>66</v>
      </c>
      <c r="F71" s="4"/>
    </row>
    <row r="72" ht="15.75" customHeight="1">
      <c r="A72" s="4" t="s">
        <v>193</v>
      </c>
      <c r="B72" s="4">
        <v>73.0</v>
      </c>
      <c r="C72" s="4" t="s">
        <v>194</v>
      </c>
      <c r="D72" s="4" t="s">
        <v>29</v>
      </c>
      <c r="E72" s="4" t="s">
        <v>30</v>
      </c>
      <c r="F72" s="4" t="s">
        <v>195</v>
      </c>
    </row>
    <row r="73" ht="15.75" customHeight="1">
      <c r="A73" s="4" t="s">
        <v>196</v>
      </c>
      <c r="B73" s="4">
        <v>44.0</v>
      </c>
      <c r="C73" s="4" t="s">
        <v>197</v>
      </c>
      <c r="D73" s="4" t="s">
        <v>29</v>
      </c>
      <c r="E73" s="4" t="s">
        <v>30</v>
      </c>
      <c r="F73" s="4"/>
    </row>
    <row r="74" ht="15.75" customHeight="1">
      <c r="A74" s="4" t="s">
        <v>198</v>
      </c>
      <c r="B74" s="4">
        <v>81.0</v>
      </c>
      <c r="C74" s="4" t="s">
        <v>29</v>
      </c>
      <c r="D74" s="4" t="s">
        <v>76</v>
      </c>
      <c r="E74" s="4" t="s">
        <v>34</v>
      </c>
      <c r="F74" s="4" t="s">
        <v>35</v>
      </c>
    </row>
    <row r="75" ht="15.75" customHeight="1">
      <c r="A75" s="4" t="s">
        <v>199</v>
      </c>
      <c r="B75" s="4">
        <v>84.0</v>
      </c>
      <c r="C75" s="4" t="s">
        <v>200</v>
      </c>
      <c r="D75" s="4" t="s">
        <v>76</v>
      </c>
      <c r="E75" s="4" t="s">
        <v>34</v>
      </c>
      <c r="F75" s="4"/>
    </row>
    <row r="76" ht="15.75" customHeight="1">
      <c r="A76" s="4" t="s">
        <v>201</v>
      </c>
      <c r="B76" s="4">
        <v>106.0</v>
      </c>
      <c r="C76" s="4" t="s">
        <v>202</v>
      </c>
      <c r="D76" s="4" t="s">
        <v>76</v>
      </c>
      <c r="E76" s="4" t="s">
        <v>34</v>
      </c>
      <c r="F76" s="4" t="s">
        <v>35</v>
      </c>
    </row>
    <row r="77" ht="15.75" customHeight="1">
      <c r="A77" s="4" t="s">
        <v>203</v>
      </c>
      <c r="B77" s="4">
        <v>45.0</v>
      </c>
      <c r="C77" s="4" t="s">
        <v>204</v>
      </c>
      <c r="D77" s="4" t="s">
        <v>76</v>
      </c>
      <c r="E77" s="4" t="s">
        <v>34</v>
      </c>
      <c r="F77" s="4"/>
    </row>
    <row r="78" ht="15.75" customHeight="1">
      <c r="A78" s="4" t="s">
        <v>205</v>
      </c>
      <c r="B78" s="4">
        <v>46.0</v>
      </c>
      <c r="C78" s="4" t="s">
        <v>206</v>
      </c>
      <c r="D78" s="4" t="s">
        <v>45</v>
      </c>
      <c r="E78" s="4" t="s">
        <v>34</v>
      </c>
      <c r="F78" s="4" t="s">
        <v>57</v>
      </c>
    </row>
    <row r="79" ht="15.75" customHeight="1">
      <c r="A79" s="4" t="s">
        <v>207</v>
      </c>
      <c r="B79" s="4">
        <v>47.0</v>
      </c>
      <c r="C79" s="4" t="s">
        <v>208</v>
      </c>
      <c r="D79" s="4" t="s">
        <v>45</v>
      </c>
      <c r="E79" s="4" t="s">
        <v>34</v>
      </c>
      <c r="F79" s="4" t="s">
        <v>209</v>
      </c>
    </row>
    <row r="80" ht="15.75" customHeight="1">
      <c r="A80" s="4" t="s">
        <v>210</v>
      </c>
      <c r="B80" s="4">
        <v>48.0</v>
      </c>
      <c r="C80" s="4" t="s">
        <v>211</v>
      </c>
      <c r="D80" s="4" t="s">
        <v>45</v>
      </c>
      <c r="E80" s="4" t="s">
        <v>34</v>
      </c>
      <c r="F80" s="4" t="s">
        <v>209</v>
      </c>
    </row>
    <row r="81" ht="15.75" customHeight="1">
      <c r="A81" s="4" t="s">
        <v>212</v>
      </c>
      <c r="B81" s="4">
        <v>49.0</v>
      </c>
      <c r="C81" s="4" t="s">
        <v>213</v>
      </c>
      <c r="D81" s="4" t="s">
        <v>214</v>
      </c>
      <c r="E81" s="4" t="s">
        <v>34</v>
      </c>
      <c r="F81" s="4"/>
    </row>
    <row r="82" ht="15.75" customHeight="1">
      <c r="A82" s="4" t="s">
        <v>215</v>
      </c>
      <c r="B82" s="4">
        <v>92.0</v>
      </c>
      <c r="C82" s="4" t="s">
        <v>216</v>
      </c>
      <c r="D82" s="4" t="s">
        <v>217</v>
      </c>
      <c r="E82" s="4" t="s">
        <v>34</v>
      </c>
    </row>
    <row r="83" ht="15.75" customHeight="1">
      <c r="A83" s="4" t="s">
        <v>218</v>
      </c>
      <c r="B83" s="4">
        <v>110.0</v>
      </c>
      <c r="C83" s="4" t="s">
        <v>219</v>
      </c>
      <c r="D83" s="4" t="s">
        <v>220</v>
      </c>
      <c r="E83" s="4" t="s">
        <v>66</v>
      </c>
      <c r="F83" s="4" t="s">
        <v>221</v>
      </c>
    </row>
    <row r="84" ht="15.75" customHeight="1">
      <c r="A84" s="4" t="s">
        <v>222</v>
      </c>
      <c r="B84" s="4">
        <v>50.0</v>
      </c>
      <c r="C84" s="4" t="s">
        <v>223</v>
      </c>
      <c r="D84" s="4" t="s">
        <v>41</v>
      </c>
      <c r="E84" s="4" t="s">
        <v>94</v>
      </c>
      <c r="F84" s="4" t="s">
        <v>60</v>
      </c>
    </row>
    <row r="85" ht="15.75" customHeight="1">
      <c r="A85" s="4" t="s">
        <v>224</v>
      </c>
      <c r="B85" s="4">
        <v>51.0</v>
      </c>
      <c r="C85" s="4" t="s">
        <v>225</v>
      </c>
      <c r="D85" s="4" t="s">
        <v>226</v>
      </c>
      <c r="E85" s="4" t="s">
        <v>34</v>
      </c>
    </row>
    <row r="86" ht="15.75" customHeight="1">
      <c r="A86" s="4" t="s">
        <v>227</v>
      </c>
      <c r="B86" s="4">
        <v>103.0</v>
      </c>
      <c r="C86" s="4" t="s">
        <v>228</v>
      </c>
      <c r="D86" s="4" t="s">
        <v>229</v>
      </c>
      <c r="E86" s="4" t="s">
        <v>34</v>
      </c>
    </row>
    <row r="87" ht="15.75" customHeight="1">
      <c r="A87" s="4" t="s">
        <v>230</v>
      </c>
      <c r="B87" s="4">
        <v>83.0</v>
      </c>
      <c r="C87" s="4" t="s">
        <v>231</v>
      </c>
      <c r="D87" s="4" t="s">
        <v>232</v>
      </c>
      <c r="E87" s="4" t="s">
        <v>66</v>
      </c>
    </row>
    <row r="88" ht="15.75" customHeight="1">
      <c r="A88" s="4" t="s">
        <v>233</v>
      </c>
      <c r="B88" s="4">
        <v>117.0</v>
      </c>
      <c r="C88" s="4" t="s">
        <v>234</v>
      </c>
      <c r="D88" s="4" t="s">
        <v>235</v>
      </c>
      <c r="E88" s="4" t="s">
        <v>66</v>
      </c>
      <c r="F88" s="4"/>
    </row>
    <row r="89" ht="15.75" customHeight="1">
      <c r="A89" s="4" t="s">
        <v>236</v>
      </c>
      <c r="B89" s="4">
        <v>137.0</v>
      </c>
      <c r="C89" s="4" t="s">
        <v>237</v>
      </c>
      <c r="D89" s="4" t="s">
        <v>41</v>
      </c>
      <c r="E89" s="4" t="s">
        <v>94</v>
      </c>
    </row>
    <row r="90" ht="15.75" customHeight="1">
      <c r="A90" s="4" t="s">
        <v>238</v>
      </c>
      <c r="B90" s="4">
        <v>138.0</v>
      </c>
      <c r="C90" s="4" t="s">
        <v>239</v>
      </c>
      <c r="D90" s="4" t="s">
        <v>41</v>
      </c>
      <c r="E90" s="4" t="s">
        <v>94</v>
      </c>
      <c r="F90" s="4"/>
    </row>
    <row r="91" ht="15.75" customHeight="1">
      <c r="A91" s="4" t="s">
        <v>240</v>
      </c>
      <c r="B91" s="4">
        <v>139.0</v>
      </c>
      <c r="C91" s="4" t="s">
        <v>241</v>
      </c>
      <c r="D91" s="4" t="s">
        <v>242</v>
      </c>
      <c r="E91" s="4" t="s">
        <v>34</v>
      </c>
      <c r="F91" s="4" t="s">
        <v>118</v>
      </c>
    </row>
    <row r="92" ht="15.75" customHeight="1">
      <c r="A92" s="4" t="s">
        <v>243</v>
      </c>
      <c r="B92" s="4">
        <v>52.0</v>
      </c>
      <c r="C92" s="4" t="s">
        <v>244</v>
      </c>
      <c r="D92" s="4" t="s">
        <v>245</v>
      </c>
      <c r="E92" s="4" t="s">
        <v>34</v>
      </c>
      <c r="F92" s="4"/>
    </row>
    <row r="93" ht="15.75" customHeight="1">
      <c r="A93" s="4" t="s">
        <v>246</v>
      </c>
      <c r="B93" s="4">
        <v>95.0</v>
      </c>
      <c r="C93" s="4" t="s">
        <v>247</v>
      </c>
      <c r="D93" s="4" t="s">
        <v>45</v>
      </c>
      <c r="E93" s="4" t="s">
        <v>42</v>
      </c>
      <c r="F93" s="4" t="s">
        <v>118</v>
      </c>
    </row>
    <row r="94" ht="15.75" customHeight="1">
      <c r="A94" s="4" t="s">
        <v>248</v>
      </c>
      <c r="B94" s="4">
        <v>53.0</v>
      </c>
      <c r="C94" s="4" t="s">
        <v>249</v>
      </c>
      <c r="D94" s="4" t="s">
        <v>45</v>
      </c>
      <c r="E94" s="4" t="s">
        <v>42</v>
      </c>
    </row>
    <row r="95" ht="15.75" customHeight="1">
      <c r="A95" s="4" t="s">
        <v>250</v>
      </c>
      <c r="B95" s="4">
        <v>108.0</v>
      </c>
      <c r="C95" s="4" t="s">
        <v>251</v>
      </c>
      <c r="D95" s="4" t="s">
        <v>135</v>
      </c>
      <c r="E95" s="4" t="s">
        <v>34</v>
      </c>
      <c r="F95" s="4" t="s">
        <v>118</v>
      </c>
    </row>
    <row r="96" ht="15.75" customHeight="1">
      <c r="A96" s="4" t="s">
        <v>252</v>
      </c>
      <c r="B96" s="4">
        <v>54.0</v>
      </c>
      <c r="C96" s="4" t="s">
        <v>253</v>
      </c>
      <c r="D96" s="4" t="s">
        <v>45</v>
      </c>
      <c r="E96" s="4" t="s">
        <v>66</v>
      </c>
    </row>
    <row r="97" ht="15.75" customHeight="1">
      <c r="A97" s="4" t="s">
        <v>254</v>
      </c>
      <c r="B97" s="4">
        <v>97.0</v>
      </c>
      <c r="C97" s="4" t="s">
        <v>255</v>
      </c>
      <c r="D97" s="4" t="s">
        <v>45</v>
      </c>
      <c r="E97" s="4" t="s">
        <v>34</v>
      </c>
      <c r="F97" s="4"/>
    </row>
    <row r="98" ht="15.75" customHeight="1">
      <c r="A98" s="4" t="s">
        <v>256</v>
      </c>
      <c r="B98" s="4">
        <v>123.0</v>
      </c>
      <c r="C98" s="4" t="s">
        <v>45</v>
      </c>
      <c r="D98" s="4" t="s">
        <v>33</v>
      </c>
      <c r="E98" s="4" t="s">
        <v>34</v>
      </c>
      <c r="F98" s="4" t="s">
        <v>35</v>
      </c>
    </row>
    <row r="99" ht="15.75" customHeight="1">
      <c r="A99" s="4" t="s">
        <v>257</v>
      </c>
      <c r="B99" s="4">
        <v>56.0</v>
      </c>
      <c r="C99" s="4" t="s">
        <v>258</v>
      </c>
      <c r="D99" s="4" t="s">
        <v>259</v>
      </c>
      <c r="E99" s="4" t="s">
        <v>66</v>
      </c>
    </row>
    <row r="100" ht="15.75" customHeight="1">
      <c r="A100" s="4" t="s">
        <v>260</v>
      </c>
      <c r="B100" s="4">
        <v>133.0</v>
      </c>
      <c r="C100" s="4" t="s">
        <v>261</v>
      </c>
      <c r="D100" s="4" t="s">
        <v>262</v>
      </c>
      <c r="E100" s="4" t="s">
        <v>66</v>
      </c>
      <c r="F100" s="4" t="s">
        <v>35</v>
      </c>
    </row>
    <row r="101" ht="15.75" customHeight="1">
      <c r="A101" s="4" t="s">
        <v>263</v>
      </c>
      <c r="B101" s="4">
        <v>57.0</v>
      </c>
      <c r="C101" s="4" t="s">
        <v>264</v>
      </c>
      <c r="D101" s="4" t="s">
        <v>33</v>
      </c>
      <c r="E101" s="4" t="s">
        <v>34</v>
      </c>
    </row>
    <row r="102" ht="15.75" customHeight="1">
      <c r="A102" s="4" t="s">
        <v>265</v>
      </c>
      <c r="B102" s="4">
        <v>118.0</v>
      </c>
      <c r="C102" s="4" t="s">
        <v>266</v>
      </c>
      <c r="D102" s="4" t="s">
        <v>159</v>
      </c>
      <c r="E102" s="4" t="s">
        <v>94</v>
      </c>
    </row>
    <row r="103" ht="15.75" customHeight="1">
      <c r="A103" s="4" t="s">
        <v>267</v>
      </c>
      <c r="B103" s="4">
        <v>113.0</v>
      </c>
      <c r="C103" s="4" t="s">
        <v>268</v>
      </c>
      <c r="D103" s="4" t="s">
        <v>269</v>
      </c>
      <c r="E103" s="4" t="s">
        <v>66</v>
      </c>
      <c r="F103" s="4"/>
    </row>
    <row r="104" ht="15.75" customHeight="1">
      <c r="A104" s="4" t="s">
        <v>270</v>
      </c>
      <c r="B104" s="4">
        <v>132.0</v>
      </c>
      <c r="C104" s="4" t="s">
        <v>271</v>
      </c>
      <c r="D104" s="4" t="s">
        <v>272</v>
      </c>
      <c r="E104" s="4" t="s">
        <v>34</v>
      </c>
      <c r="F104" s="4"/>
    </row>
    <row r="105" ht="15.75" customHeight="1">
      <c r="A105" s="4" t="s">
        <v>273</v>
      </c>
      <c r="B105" s="4">
        <v>100.0</v>
      </c>
      <c r="C105" s="4" t="s">
        <v>274</v>
      </c>
      <c r="D105" s="4" t="s">
        <v>164</v>
      </c>
      <c r="E105" s="4" t="s">
        <v>34</v>
      </c>
      <c r="F105" s="4"/>
    </row>
    <row r="106" ht="15.75" customHeight="1">
      <c r="A106" s="4" t="s">
        <v>275</v>
      </c>
      <c r="B106" s="4">
        <v>129.0</v>
      </c>
      <c r="C106" s="4" t="s">
        <v>276</v>
      </c>
      <c r="D106" s="4" t="s">
        <v>217</v>
      </c>
      <c r="E106" s="4" t="s">
        <v>66</v>
      </c>
      <c r="F106" s="4" t="s">
        <v>35</v>
      </c>
    </row>
    <row r="107" ht="15.75" customHeight="1">
      <c r="A107" s="4" t="s">
        <v>277</v>
      </c>
      <c r="B107" s="4">
        <v>58.0</v>
      </c>
      <c r="C107" s="4" t="s">
        <v>278</v>
      </c>
      <c r="D107" s="4" t="s">
        <v>269</v>
      </c>
      <c r="E107" s="4" t="s">
        <v>66</v>
      </c>
      <c r="F107" s="4" t="s">
        <v>35</v>
      </c>
    </row>
    <row r="108" ht="15.75" customHeight="1">
      <c r="A108" s="4" t="s">
        <v>279</v>
      </c>
      <c r="B108" s="4">
        <v>59.0</v>
      </c>
      <c r="C108" s="4" t="s">
        <v>280</v>
      </c>
      <c r="D108" s="4" t="s">
        <v>269</v>
      </c>
      <c r="E108" s="4" t="s">
        <v>66</v>
      </c>
      <c r="F108" s="4" t="s">
        <v>35</v>
      </c>
    </row>
    <row r="109" ht="15.75" customHeight="1">
      <c r="A109" s="4" t="s">
        <v>281</v>
      </c>
      <c r="B109" s="4">
        <v>60.0</v>
      </c>
      <c r="C109" s="4" t="s">
        <v>282</v>
      </c>
      <c r="D109" s="4" t="s">
        <v>283</v>
      </c>
      <c r="E109" s="4" t="s">
        <v>34</v>
      </c>
      <c r="F109" s="4" t="s">
        <v>73</v>
      </c>
    </row>
    <row r="110" ht="15.75" customHeight="1">
      <c r="A110" s="4" t="s">
        <v>284</v>
      </c>
      <c r="B110" s="4">
        <v>61.0</v>
      </c>
      <c r="C110" s="4" t="s">
        <v>285</v>
      </c>
      <c r="D110" s="4" t="s">
        <v>286</v>
      </c>
      <c r="E110" s="4" t="s">
        <v>94</v>
      </c>
      <c r="F110" s="4"/>
    </row>
    <row r="111" ht="15.75" customHeight="1">
      <c r="A111" s="4" t="s">
        <v>287</v>
      </c>
      <c r="B111" s="4">
        <v>112.0</v>
      </c>
      <c r="C111" s="4" t="s">
        <v>288</v>
      </c>
      <c r="D111" s="4" t="s">
        <v>289</v>
      </c>
      <c r="E111" s="4" t="s">
        <v>34</v>
      </c>
      <c r="F111" s="4"/>
    </row>
    <row r="112" ht="15.75" customHeight="1">
      <c r="A112" s="4" t="s">
        <v>290</v>
      </c>
      <c r="B112" s="4">
        <v>78.0</v>
      </c>
      <c r="C112" s="4" t="s">
        <v>291</v>
      </c>
      <c r="D112" s="4" t="s">
        <v>45</v>
      </c>
      <c r="E112" s="4" t="s">
        <v>34</v>
      </c>
      <c r="F112" s="4"/>
    </row>
    <row r="113" ht="15.75" customHeight="1">
      <c r="A113" s="4" t="s">
        <v>292</v>
      </c>
      <c r="B113" s="4">
        <v>77.0</v>
      </c>
      <c r="C113" s="4" t="s">
        <v>293</v>
      </c>
      <c r="D113" s="4" t="s">
        <v>45</v>
      </c>
      <c r="E113" s="4" t="s">
        <v>34</v>
      </c>
      <c r="F113" s="4" t="s">
        <v>294</v>
      </c>
    </row>
    <row r="114" ht="15.75" customHeight="1">
      <c r="A114" s="4" t="s">
        <v>295</v>
      </c>
      <c r="B114" s="4">
        <v>62.0</v>
      </c>
      <c r="C114" s="4" t="s">
        <v>296</v>
      </c>
      <c r="D114" s="4" t="s">
        <v>45</v>
      </c>
      <c r="E114" s="4" t="s">
        <v>34</v>
      </c>
      <c r="F114" s="4" t="s">
        <v>294</v>
      </c>
    </row>
    <row r="115" ht="15.75" customHeight="1">
      <c r="A115" s="4" t="s">
        <v>297</v>
      </c>
      <c r="B115" s="4">
        <v>63.0</v>
      </c>
      <c r="C115" s="4" t="s">
        <v>298</v>
      </c>
      <c r="D115" s="4" t="s">
        <v>45</v>
      </c>
      <c r="E115" s="4" t="s">
        <v>34</v>
      </c>
      <c r="F115" s="4" t="s">
        <v>209</v>
      </c>
    </row>
    <row r="116" ht="15.75" customHeight="1">
      <c r="A116" s="4" t="s">
        <v>299</v>
      </c>
      <c r="B116" s="4">
        <v>64.0</v>
      </c>
      <c r="C116" s="4" t="s">
        <v>300</v>
      </c>
      <c r="D116" s="4" t="s">
        <v>45</v>
      </c>
      <c r="E116" s="4" t="s">
        <v>34</v>
      </c>
      <c r="F116" s="4" t="s">
        <v>209</v>
      </c>
    </row>
    <row r="117" ht="15.75" customHeight="1">
      <c r="A117" s="4" t="s">
        <v>301</v>
      </c>
      <c r="B117" s="4">
        <v>65.0</v>
      </c>
      <c r="C117" s="4" t="s">
        <v>302</v>
      </c>
      <c r="D117" s="4" t="s">
        <v>45</v>
      </c>
      <c r="E117" s="4" t="s">
        <v>34</v>
      </c>
      <c r="F117" s="4" t="s">
        <v>35</v>
      </c>
    </row>
    <row r="118" ht="15.75" customHeight="1">
      <c r="A118" s="4" t="s">
        <v>303</v>
      </c>
      <c r="B118" s="4">
        <v>66.0</v>
      </c>
      <c r="C118" s="4" t="s">
        <v>304</v>
      </c>
      <c r="D118" s="4" t="s">
        <v>229</v>
      </c>
      <c r="E118" s="4" t="s">
        <v>34</v>
      </c>
      <c r="F118" s="4" t="s">
        <v>35</v>
      </c>
    </row>
    <row r="119" ht="15.75" customHeight="1">
      <c r="A119" s="4" t="s">
        <v>305</v>
      </c>
      <c r="B119" s="4">
        <v>67.0</v>
      </c>
      <c r="C119" s="4" t="s">
        <v>306</v>
      </c>
      <c r="D119" s="4" t="s">
        <v>307</v>
      </c>
      <c r="E119" s="4" t="s">
        <v>66</v>
      </c>
    </row>
    <row r="120" ht="15.75" customHeight="1">
      <c r="A120" s="4" t="s">
        <v>308</v>
      </c>
      <c r="B120" s="4"/>
      <c r="C120" s="4"/>
      <c r="D120" s="4" t="s">
        <v>135</v>
      </c>
      <c r="E120" s="4" t="s">
        <v>309</v>
      </c>
    </row>
    <row r="121" ht="15.75" customHeight="1">
      <c r="A121" s="4" t="s">
        <v>310</v>
      </c>
      <c r="B121" s="4">
        <v>128.0</v>
      </c>
      <c r="C121" s="4" t="s">
        <v>311</v>
      </c>
      <c r="D121" s="4" t="s">
        <v>269</v>
      </c>
      <c r="E121" s="4" t="s">
        <v>34</v>
      </c>
    </row>
    <row r="122" ht="15.75" customHeight="1">
      <c r="A122" s="4" t="s">
        <v>312</v>
      </c>
      <c r="B122" s="4">
        <v>130.0</v>
      </c>
      <c r="C122" s="4" t="s">
        <v>313</v>
      </c>
      <c r="D122" s="4" t="s">
        <v>269</v>
      </c>
      <c r="E122" s="4" t="s">
        <v>66</v>
      </c>
    </row>
    <row r="123" ht="15.75" customHeight="1">
      <c r="A123" s="4" t="s">
        <v>314</v>
      </c>
      <c r="C123" s="4"/>
      <c r="D123" s="4" t="s">
        <v>235</v>
      </c>
      <c r="E123" s="4" t="s">
        <v>66</v>
      </c>
    </row>
    <row r="124" ht="15.75" customHeight="1">
      <c r="A124" s="4" t="s">
        <v>315</v>
      </c>
      <c r="B124" s="4">
        <v>131.0</v>
      </c>
      <c r="C124" s="4" t="s">
        <v>316</v>
      </c>
      <c r="D124" s="4" t="s">
        <v>317</v>
      </c>
      <c r="E124" s="4" t="s">
        <v>318</v>
      </c>
    </row>
    <row r="125" ht="15.75" customHeight="1">
      <c r="A125" s="4" t="s">
        <v>319</v>
      </c>
      <c r="B125" s="4">
        <v>88.0</v>
      </c>
      <c r="C125" s="4" t="s">
        <v>320</v>
      </c>
    </row>
    <row r="126" ht="15.75" customHeight="1">
      <c r="A126" s="4" t="s">
        <v>321</v>
      </c>
    </row>
    <row r="127" ht="15.75" customHeight="1">
      <c r="A127" s="4" t="s">
        <v>322</v>
      </c>
      <c r="C127" s="4" t="s">
        <v>323</v>
      </c>
      <c r="D127" s="4"/>
      <c r="E127" s="4"/>
    </row>
    <row r="128" ht="15.75" customHeight="1">
      <c r="A128" s="4" t="s">
        <v>324</v>
      </c>
      <c r="B128" s="4">
        <v>74.0</v>
      </c>
      <c r="C128" s="4" t="s">
        <v>325</v>
      </c>
      <c r="D128" s="4" t="s">
        <v>325</v>
      </c>
      <c r="E128" s="4" t="s">
        <v>34</v>
      </c>
    </row>
    <row r="129" ht="15.75" customHeight="1">
      <c r="A129" s="4" t="s">
        <v>326</v>
      </c>
      <c r="B129" s="4">
        <v>121.0</v>
      </c>
      <c r="C129" s="4" t="s">
        <v>163</v>
      </c>
      <c r="D129" s="4"/>
      <c r="E129" s="4"/>
    </row>
    <row r="130" ht="15.75" customHeight="1">
      <c r="A130" s="4" t="s">
        <v>327</v>
      </c>
      <c r="B130" s="4">
        <v>122.0</v>
      </c>
      <c r="C130" s="4" t="s">
        <v>29</v>
      </c>
      <c r="D130" s="4" t="s">
        <v>29</v>
      </c>
      <c r="E130" s="4" t="s">
        <v>30</v>
      </c>
    </row>
    <row r="131" ht="15.75" customHeight="1">
      <c r="A131" s="4" t="s">
        <v>328</v>
      </c>
      <c r="C131" s="4"/>
      <c r="D131" s="4" t="s">
        <v>235</v>
      </c>
      <c r="E131" s="4" t="s">
        <v>66</v>
      </c>
    </row>
    <row r="132" ht="15.75" customHeight="1">
      <c r="A132" s="4" t="s">
        <v>329</v>
      </c>
      <c r="B132" s="4">
        <v>119.0</v>
      </c>
      <c r="C132" s="4" t="s">
        <v>330</v>
      </c>
      <c r="D132" s="4" t="s">
        <v>331</v>
      </c>
      <c r="E132" s="4" t="s">
        <v>66</v>
      </c>
    </row>
    <row r="133" ht="15.75" customHeight="1">
      <c r="A133" s="4" t="s">
        <v>327</v>
      </c>
      <c r="B133" s="4">
        <v>122.0</v>
      </c>
      <c r="C133" s="4" t="s">
        <v>29</v>
      </c>
      <c r="D133" s="4" t="s">
        <v>29</v>
      </c>
      <c r="E133" s="4" t="s">
        <v>30</v>
      </c>
    </row>
    <row r="134" ht="15.75" customHeight="1">
      <c r="A134" s="4" t="s">
        <v>332</v>
      </c>
      <c r="B134" s="4">
        <v>55.0</v>
      </c>
      <c r="C134" s="4" t="s">
        <v>333</v>
      </c>
      <c r="D134" s="4" t="s">
        <v>45</v>
      </c>
      <c r="E134" s="4" t="s">
        <v>66</v>
      </c>
      <c r="F134" s="4"/>
    </row>
    <row r="135" ht="15.75" customHeight="1">
      <c r="A135" s="4" t="s">
        <v>334</v>
      </c>
      <c r="B135" s="4">
        <v>82.0</v>
      </c>
      <c r="C135" s="4" t="s">
        <v>335</v>
      </c>
      <c r="D135" s="4" t="s">
        <v>336</v>
      </c>
      <c r="E135" s="4" t="s">
        <v>34</v>
      </c>
      <c r="F135" s="4" t="s">
        <v>118</v>
      </c>
    </row>
    <row r="136" ht="15.75" customHeight="1">
      <c r="A136" s="4" t="s">
        <v>337</v>
      </c>
      <c r="B136" s="4">
        <v>111.0</v>
      </c>
      <c r="C136" s="4" t="s">
        <v>338</v>
      </c>
      <c r="D136" s="4" t="s">
        <v>338</v>
      </c>
      <c r="E136" s="4" t="s">
        <v>34</v>
      </c>
    </row>
    <row r="137" ht="15.75" customHeight="1"/>
    <row r="138" ht="15.75" customHeight="1">
      <c r="A138" s="4"/>
      <c r="C138" s="4"/>
    </row>
    <row r="139" ht="15.75" customHeight="1">
      <c r="A139" s="4"/>
      <c r="C139" s="4"/>
    </row>
    <row r="140" ht="15.75" customHeight="1">
      <c r="A140" s="4"/>
      <c r="C140" s="4"/>
    </row>
    <row r="141" ht="15.75" customHeight="1">
      <c r="A141" s="4"/>
    </row>
    <row r="142" ht="15.75" customHeight="1">
      <c r="A142" s="4"/>
      <c r="C142" s="4"/>
    </row>
    <row r="143" ht="15.75" customHeight="1">
      <c r="A143" s="4"/>
      <c r="C143" s="4"/>
    </row>
    <row r="144" ht="15.75" customHeight="1">
      <c r="A144" s="4"/>
      <c r="C144" s="4"/>
    </row>
    <row r="145" ht="15.75" customHeight="1">
      <c r="A145" s="4"/>
      <c r="C145" s="4"/>
    </row>
    <row r="146" ht="15.75" customHeight="1">
      <c r="A146" s="4"/>
      <c r="C146" s="4"/>
    </row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2.0"/>
    <col customWidth="1" min="2" max="8" width="18.88"/>
    <col customWidth="1" min="9" max="9" width="50.25"/>
    <col customWidth="1" min="10" max="10" width="28.63"/>
    <col customWidth="1" min="11" max="37" width="18.88"/>
    <col customWidth="1" min="38" max="57" width="12.0"/>
  </cols>
  <sheetData>
    <row r="1" ht="79.5" customHeight="1">
      <c r="A1" s="60" t="s">
        <v>339</v>
      </c>
      <c r="B1" s="61" t="s">
        <v>340</v>
      </c>
      <c r="C1" s="62" t="s">
        <v>341</v>
      </c>
      <c r="D1" s="63" t="s">
        <v>342</v>
      </c>
      <c r="E1" s="61" t="s">
        <v>343</v>
      </c>
      <c r="F1" s="61" t="s">
        <v>344</v>
      </c>
      <c r="G1" s="61" t="s">
        <v>345</v>
      </c>
      <c r="H1" s="64" t="s">
        <v>346</v>
      </c>
      <c r="I1" s="65" t="s">
        <v>13</v>
      </c>
      <c r="J1" s="66" t="s">
        <v>14</v>
      </c>
      <c r="K1" s="65" t="s">
        <v>347</v>
      </c>
      <c r="L1" s="65" t="s">
        <v>25</v>
      </c>
      <c r="M1" s="65" t="s">
        <v>26</v>
      </c>
      <c r="N1" s="67" t="s">
        <v>348</v>
      </c>
      <c r="O1" s="68" t="s">
        <v>349</v>
      </c>
      <c r="P1" s="68" t="s">
        <v>350</v>
      </c>
      <c r="Q1" s="68" t="s">
        <v>351</v>
      </c>
      <c r="R1" s="68" t="s">
        <v>352</v>
      </c>
      <c r="S1" s="69" t="s">
        <v>353</v>
      </c>
      <c r="T1" s="68" t="s">
        <v>354</v>
      </c>
      <c r="U1" s="70" t="s">
        <v>355</v>
      </c>
      <c r="V1" s="71" t="s">
        <v>356</v>
      </c>
      <c r="W1" s="72" t="s">
        <v>357</v>
      </c>
      <c r="X1" s="73" t="s">
        <v>358</v>
      </c>
      <c r="Y1" s="74" t="s">
        <v>359</v>
      </c>
      <c r="Z1" s="75" t="s">
        <v>349</v>
      </c>
      <c r="AA1" s="75" t="s">
        <v>360</v>
      </c>
      <c r="AB1" s="75" t="s">
        <v>361</v>
      </c>
      <c r="AC1" s="75" t="s">
        <v>362</v>
      </c>
      <c r="AD1" s="69" t="s">
        <v>363</v>
      </c>
      <c r="AE1" s="76" t="s">
        <v>364</v>
      </c>
      <c r="AF1" s="76" t="s">
        <v>365</v>
      </c>
      <c r="AG1" s="76" t="s">
        <v>366</v>
      </c>
      <c r="AH1" s="75" t="s">
        <v>367</v>
      </c>
      <c r="AI1" s="75" t="s">
        <v>368</v>
      </c>
      <c r="AJ1" s="77" t="s">
        <v>369</v>
      </c>
      <c r="AK1" s="78" t="s">
        <v>370</v>
      </c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</row>
    <row r="2" ht="15.75" customHeight="1">
      <c r="A2" s="80" t="s">
        <v>27</v>
      </c>
      <c r="B2" s="81" t="s">
        <v>371</v>
      </c>
      <c r="C2" s="82"/>
      <c r="D2" s="83"/>
      <c r="E2" s="84" t="s">
        <v>372</v>
      </c>
      <c r="F2" s="84" t="s">
        <v>373</v>
      </c>
      <c r="G2" s="84" t="s">
        <v>374</v>
      </c>
      <c r="H2" s="85">
        <v>1.0</v>
      </c>
      <c r="I2" s="86" t="s">
        <v>28</v>
      </c>
      <c r="J2" s="86" t="s">
        <v>27</v>
      </c>
      <c r="K2" s="84" t="s">
        <v>375</v>
      </c>
      <c r="L2" s="86" t="s">
        <v>30</v>
      </c>
      <c r="M2" s="86" t="s">
        <v>376</v>
      </c>
      <c r="N2" s="87">
        <v>54.878505000000004</v>
      </c>
      <c r="O2" s="88">
        <f t="shared" ref="O2:O146" si="1">Q2-P2</f>
        <v>54.87776504</v>
      </c>
      <c r="P2" s="88">
        <f t="shared" ref="P2:P146" si="2">Q2*13.82%</f>
        <v>8.800309965</v>
      </c>
      <c r="Q2" s="88">
        <f t="shared" ref="Q2:Q146" si="3">S2-R2</f>
        <v>63.678075</v>
      </c>
      <c r="R2" s="88">
        <f t="shared" ref="R2:R146" si="4">S2*3%</f>
        <v>1.969425</v>
      </c>
      <c r="S2" s="89">
        <f t="shared" ref="S2:S146" si="5">U2-T2</f>
        <v>65.6475</v>
      </c>
      <c r="T2" s="88">
        <f t="shared" ref="T2:T146" si="6">U2*25%</f>
        <v>21.8825</v>
      </c>
      <c r="U2" s="90">
        <v>87.53</v>
      </c>
      <c r="V2" s="90">
        <f t="shared" ref="V2:V146" si="7">U2*40%</f>
        <v>35.012</v>
      </c>
      <c r="W2" s="91">
        <f t="shared" ref="W2:W146" si="8">V2*13.63%</f>
        <v>4.7721356</v>
      </c>
      <c r="X2" s="92">
        <f t="shared" ref="X2:X146" si="9">U2+W2</f>
        <v>92.3021356</v>
      </c>
      <c r="Y2" s="93">
        <f t="shared" ref="Y2:Y146" si="10">N2-O2</f>
        <v>0.000739965</v>
      </c>
      <c r="Z2" s="88">
        <f t="shared" ref="Z2:Z146" si="11">AB2-AA2</f>
        <v>0</v>
      </c>
      <c r="AA2" s="88">
        <f t="shared" ref="AA2:AA146" si="12">AB2*12%</f>
        <v>0</v>
      </c>
      <c r="AB2" s="88">
        <f t="shared" ref="AB2:AB146" si="13">AD2-AC2</f>
        <v>0</v>
      </c>
      <c r="AC2" s="88">
        <f t="shared" ref="AC2:AC146" si="14">AD2*5%</f>
        <v>0</v>
      </c>
      <c r="AD2" s="89">
        <f t="shared" ref="AD2:AD146" si="15">AK2-AH2-AI2</f>
        <v>0</v>
      </c>
      <c r="AE2" s="94"/>
      <c r="AF2" s="94"/>
      <c r="AG2" s="94"/>
      <c r="AH2" s="88">
        <f t="shared" ref="AH2:AH146" si="16">(AK2-AI2)*25%</f>
        <v>0</v>
      </c>
      <c r="AI2" s="88">
        <f t="shared" ref="AI2:AI146" si="17">(AJ2*W2)</f>
        <v>0</v>
      </c>
      <c r="AJ2" s="95"/>
      <c r="AK2" s="93">
        <f t="shared" ref="AK2:AK146" si="18">AJ2*X2</f>
        <v>0</v>
      </c>
      <c r="AL2" s="6"/>
      <c r="AM2" s="6"/>
      <c r="AN2" s="6"/>
      <c r="AO2" s="6"/>
      <c r="AP2" s="6"/>
      <c r="AQ2" s="6"/>
      <c r="AR2" s="6"/>
      <c r="AS2" s="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</row>
    <row r="3" ht="15.75" customHeight="1">
      <c r="A3" s="97" t="s">
        <v>377</v>
      </c>
      <c r="B3" s="98" t="s">
        <v>371</v>
      </c>
      <c r="C3" s="99"/>
      <c r="D3" s="100"/>
      <c r="E3" s="101"/>
      <c r="F3" s="102" t="s">
        <v>378</v>
      </c>
      <c r="G3" s="102" t="s">
        <v>379</v>
      </c>
      <c r="H3" s="103">
        <v>2.0</v>
      </c>
      <c r="I3" s="102" t="s">
        <v>380</v>
      </c>
      <c r="J3" s="102" t="s">
        <v>377</v>
      </c>
      <c r="K3" s="102" t="s">
        <v>33</v>
      </c>
      <c r="L3" s="102" t="s">
        <v>34</v>
      </c>
      <c r="M3" s="102" t="s">
        <v>35</v>
      </c>
      <c r="N3" s="87">
        <v>132.80598210000002</v>
      </c>
      <c r="O3" s="104">
        <f t="shared" si="1"/>
        <v>132.8060356</v>
      </c>
      <c r="P3" s="104">
        <f t="shared" si="2"/>
        <v>21.29704585</v>
      </c>
      <c r="Q3" s="104">
        <f t="shared" si="3"/>
        <v>154.1030814</v>
      </c>
      <c r="R3" s="104">
        <f t="shared" si="4"/>
        <v>4.766074683</v>
      </c>
      <c r="S3" s="105">
        <f t="shared" si="5"/>
        <v>158.8691561</v>
      </c>
      <c r="T3" s="104">
        <f t="shared" si="6"/>
        <v>52.95638536</v>
      </c>
      <c r="U3" s="106">
        <v>211.8255414495</v>
      </c>
      <c r="V3" s="106">
        <f t="shared" si="7"/>
        <v>84.73021658</v>
      </c>
      <c r="W3" s="107">
        <f t="shared" si="8"/>
        <v>11.54872852</v>
      </c>
      <c r="X3" s="108">
        <f t="shared" si="9"/>
        <v>223.37427</v>
      </c>
      <c r="Y3" s="93">
        <f t="shared" si="10"/>
        <v>-0.00005345440781</v>
      </c>
      <c r="Z3" s="104">
        <f t="shared" si="11"/>
        <v>0</v>
      </c>
      <c r="AA3" s="104">
        <f t="shared" si="12"/>
        <v>0</v>
      </c>
      <c r="AB3" s="104">
        <f t="shared" si="13"/>
        <v>0</v>
      </c>
      <c r="AC3" s="104">
        <f t="shared" si="14"/>
        <v>0</v>
      </c>
      <c r="AD3" s="105">
        <f t="shared" si="15"/>
        <v>0</v>
      </c>
      <c r="AE3" s="109"/>
      <c r="AF3" s="109"/>
      <c r="AG3" s="109"/>
      <c r="AH3" s="104">
        <f t="shared" si="16"/>
        <v>0</v>
      </c>
      <c r="AI3" s="104">
        <f t="shared" si="17"/>
        <v>0</v>
      </c>
      <c r="AJ3" s="95"/>
      <c r="AK3" s="110">
        <f t="shared" si="18"/>
        <v>0</v>
      </c>
      <c r="AL3" s="6"/>
      <c r="AM3" s="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</row>
    <row r="4" ht="15.75" customHeight="1">
      <c r="A4" s="97" t="s">
        <v>39</v>
      </c>
      <c r="B4" s="98" t="s">
        <v>371</v>
      </c>
      <c r="C4" s="99"/>
      <c r="D4" s="100"/>
      <c r="E4" s="101"/>
      <c r="F4" s="102" t="s">
        <v>381</v>
      </c>
      <c r="G4" s="102" t="s">
        <v>382</v>
      </c>
      <c r="H4" s="103">
        <v>4.0</v>
      </c>
      <c r="I4" s="102" t="s">
        <v>40</v>
      </c>
      <c r="J4" s="102" t="s">
        <v>39</v>
      </c>
      <c r="K4" s="102" t="s">
        <v>41</v>
      </c>
      <c r="L4" s="102" t="s">
        <v>42</v>
      </c>
      <c r="M4" s="102" t="s">
        <v>35</v>
      </c>
      <c r="N4" s="87">
        <v>66.40299105000001</v>
      </c>
      <c r="O4" s="111">
        <f t="shared" si="1"/>
        <v>66.39501105</v>
      </c>
      <c r="P4" s="104">
        <f t="shared" si="2"/>
        <v>10.64723895</v>
      </c>
      <c r="Q4" s="104">
        <f t="shared" si="3"/>
        <v>77.04225</v>
      </c>
      <c r="R4" s="104">
        <f t="shared" si="4"/>
        <v>2.38275</v>
      </c>
      <c r="S4" s="105">
        <f t="shared" si="5"/>
        <v>79.425</v>
      </c>
      <c r="T4" s="104">
        <f t="shared" si="6"/>
        <v>26.475</v>
      </c>
      <c r="U4" s="106">
        <v>105.9</v>
      </c>
      <c r="V4" s="106">
        <f t="shared" si="7"/>
        <v>42.36</v>
      </c>
      <c r="W4" s="107">
        <f t="shared" si="8"/>
        <v>5.773668</v>
      </c>
      <c r="X4" s="108">
        <f t="shared" si="9"/>
        <v>111.673668</v>
      </c>
      <c r="Y4" s="93">
        <f t="shared" si="10"/>
        <v>0.00798</v>
      </c>
      <c r="Z4" s="104">
        <f t="shared" si="11"/>
        <v>0</v>
      </c>
      <c r="AA4" s="104">
        <f t="shared" si="12"/>
        <v>0</v>
      </c>
      <c r="AB4" s="104">
        <f t="shared" si="13"/>
        <v>0</v>
      </c>
      <c r="AC4" s="104">
        <f t="shared" si="14"/>
        <v>0</v>
      </c>
      <c r="AD4" s="105">
        <f t="shared" si="15"/>
        <v>0</v>
      </c>
      <c r="AE4" s="109"/>
      <c r="AF4" s="109"/>
      <c r="AG4" s="109"/>
      <c r="AH4" s="104">
        <f t="shared" si="16"/>
        <v>0</v>
      </c>
      <c r="AI4" s="104">
        <f t="shared" si="17"/>
        <v>0</v>
      </c>
      <c r="AJ4" s="95"/>
      <c r="AK4" s="110">
        <f t="shared" si="18"/>
        <v>0</v>
      </c>
      <c r="AL4" s="6"/>
      <c r="AM4" s="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</row>
    <row r="5" ht="15.75" customHeight="1">
      <c r="A5" s="97" t="s">
        <v>383</v>
      </c>
      <c r="B5" s="98" t="s">
        <v>371</v>
      </c>
      <c r="C5" s="99"/>
      <c r="D5" s="100"/>
      <c r="E5" s="101"/>
      <c r="F5" s="102" t="s">
        <v>384</v>
      </c>
      <c r="G5" s="102" t="s">
        <v>385</v>
      </c>
      <c r="H5" s="103">
        <v>5.0</v>
      </c>
      <c r="I5" s="102" t="s">
        <v>47</v>
      </c>
      <c r="J5" s="102" t="s">
        <v>383</v>
      </c>
      <c r="K5" s="112" t="s">
        <v>45</v>
      </c>
      <c r="L5" s="102" t="s">
        <v>34</v>
      </c>
      <c r="M5" s="102" t="s">
        <v>48</v>
      </c>
      <c r="N5" s="87">
        <v>19.920897315</v>
      </c>
      <c r="O5" s="113">
        <f t="shared" si="1"/>
        <v>19.9373121</v>
      </c>
      <c r="P5" s="104">
        <f t="shared" si="2"/>
        <v>3.1971879</v>
      </c>
      <c r="Q5" s="104">
        <f t="shared" si="3"/>
        <v>23.1345</v>
      </c>
      <c r="R5" s="104">
        <f t="shared" si="4"/>
        <v>0.7155</v>
      </c>
      <c r="S5" s="105">
        <f t="shared" si="5"/>
        <v>23.85</v>
      </c>
      <c r="T5" s="104">
        <f t="shared" si="6"/>
        <v>7.95</v>
      </c>
      <c r="U5" s="106">
        <v>31.8</v>
      </c>
      <c r="V5" s="106">
        <f t="shared" si="7"/>
        <v>12.72</v>
      </c>
      <c r="W5" s="107">
        <f t="shared" si="8"/>
        <v>1.733736</v>
      </c>
      <c r="X5" s="108">
        <f t="shared" si="9"/>
        <v>33.533736</v>
      </c>
      <c r="Y5" s="93">
        <f t="shared" si="10"/>
        <v>-0.016414785</v>
      </c>
      <c r="Z5" s="104">
        <f t="shared" si="11"/>
        <v>0</v>
      </c>
      <c r="AA5" s="104">
        <f t="shared" si="12"/>
        <v>0</v>
      </c>
      <c r="AB5" s="104">
        <f t="shared" si="13"/>
        <v>0</v>
      </c>
      <c r="AC5" s="104">
        <f t="shared" si="14"/>
        <v>0</v>
      </c>
      <c r="AD5" s="105">
        <f t="shared" si="15"/>
        <v>0</v>
      </c>
      <c r="AE5" s="109"/>
      <c r="AF5" s="109"/>
      <c r="AG5" s="109"/>
      <c r="AH5" s="104">
        <f t="shared" si="16"/>
        <v>0</v>
      </c>
      <c r="AI5" s="104">
        <f t="shared" si="17"/>
        <v>0</v>
      </c>
      <c r="AJ5" s="95"/>
      <c r="AK5" s="110">
        <f t="shared" si="18"/>
        <v>0</v>
      </c>
      <c r="AL5" s="6"/>
      <c r="AM5" s="6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ht="15.75" customHeight="1">
      <c r="A6" s="97" t="s">
        <v>49</v>
      </c>
      <c r="B6" s="98" t="s">
        <v>371</v>
      </c>
      <c r="C6" s="99"/>
      <c r="D6" s="100"/>
      <c r="E6" s="101"/>
      <c r="F6" s="102" t="s">
        <v>386</v>
      </c>
      <c r="G6" s="102" t="s">
        <v>387</v>
      </c>
      <c r="H6" s="103">
        <v>6.0</v>
      </c>
      <c r="I6" s="102" t="s">
        <v>50</v>
      </c>
      <c r="J6" s="102" t="s">
        <v>49</v>
      </c>
      <c r="K6" s="112" t="s">
        <v>45</v>
      </c>
      <c r="L6" s="102" t="s">
        <v>34</v>
      </c>
      <c r="M6" s="102" t="s">
        <v>35</v>
      </c>
      <c r="N6" s="87">
        <v>132.80598210000002</v>
      </c>
      <c r="O6" s="104">
        <f t="shared" si="1"/>
        <v>132.8060356</v>
      </c>
      <c r="P6" s="104">
        <f t="shared" si="2"/>
        <v>21.29704585</v>
      </c>
      <c r="Q6" s="104">
        <f t="shared" si="3"/>
        <v>154.1030814</v>
      </c>
      <c r="R6" s="104">
        <f t="shared" si="4"/>
        <v>4.766074683</v>
      </c>
      <c r="S6" s="105">
        <f t="shared" si="5"/>
        <v>158.8691561</v>
      </c>
      <c r="T6" s="104">
        <f t="shared" si="6"/>
        <v>52.95638536</v>
      </c>
      <c r="U6" s="106">
        <v>211.82554144950004</v>
      </c>
      <c r="V6" s="106">
        <f t="shared" si="7"/>
        <v>84.73021658</v>
      </c>
      <c r="W6" s="107">
        <f t="shared" si="8"/>
        <v>11.54872852</v>
      </c>
      <c r="X6" s="108">
        <f t="shared" si="9"/>
        <v>223.37427</v>
      </c>
      <c r="Y6" s="93">
        <f t="shared" si="10"/>
        <v>-0.00005345440781</v>
      </c>
      <c r="Z6" s="104">
        <f t="shared" si="11"/>
        <v>0</v>
      </c>
      <c r="AA6" s="104">
        <f t="shared" si="12"/>
        <v>0</v>
      </c>
      <c r="AB6" s="104">
        <f t="shared" si="13"/>
        <v>0</v>
      </c>
      <c r="AC6" s="104">
        <f t="shared" si="14"/>
        <v>0</v>
      </c>
      <c r="AD6" s="105">
        <f t="shared" si="15"/>
        <v>0</v>
      </c>
      <c r="AE6" s="109"/>
      <c r="AF6" s="109"/>
      <c r="AG6" s="109"/>
      <c r="AH6" s="104">
        <f t="shared" si="16"/>
        <v>0</v>
      </c>
      <c r="AI6" s="104">
        <f t="shared" si="17"/>
        <v>0</v>
      </c>
      <c r="AJ6" s="95"/>
      <c r="AK6" s="110">
        <f t="shared" si="18"/>
        <v>0</v>
      </c>
      <c r="AL6" s="6"/>
      <c r="AM6" s="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</row>
    <row r="7" ht="15.75" customHeight="1">
      <c r="A7" s="97" t="s">
        <v>388</v>
      </c>
      <c r="B7" s="98" t="s">
        <v>371</v>
      </c>
      <c r="C7" s="99"/>
      <c r="D7" s="100"/>
      <c r="E7" s="101"/>
      <c r="F7" s="102" t="s">
        <v>389</v>
      </c>
      <c r="G7" s="102" t="s">
        <v>390</v>
      </c>
      <c r="H7" s="103">
        <v>8.0</v>
      </c>
      <c r="I7" s="102" t="s">
        <v>52</v>
      </c>
      <c r="J7" s="102" t="s">
        <v>388</v>
      </c>
      <c r="K7" s="112" t="s">
        <v>45</v>
      </c>
      <c r="L7" s="102" t="s">
        <v>34</v>
      </c>
      <c r="M7" s="102" t="s">
        <v>35</v>
      </c>
      <c r="N7" s="87">
        <v>19.920897315</v>
      </c>
      <c r="O7" s="111">
        <f t="shared" si="1"/>
        <v>19.90596413</v>
      </c>
      <c r="P7" s="104">
        <f t="shared" si="2"/>
        <v>3.192160875</v>
      </c>
      <c r="Q7" s="104">
        <f t="shared" si="3"/>
        <v>23.098125</v>
      </c>
      <c r="R7" s="104">
        <f t="shared" si="4"/>
        <v>0.714375</v>
      </c>
      <c r="S7" s="105">
        <f t="shared" si="5"/>
        <v>23.8125</v>
      </c>
      <c r="T7" s="104">
        <f t="shared" si="6"/>
        <v>7.9375</v>
      </c>
      <c r="U7" s="106">
        <v>31.75</v>
      </c>
      <c r="V7" s="106">
        <f t="shared" si="7"/>
        <v>12.7</v>
      </c>
      <c r="W7" s="107">
        <f t="shared" si="8"/>
        <v>1.73101</v>
      </c>
      <c r="X7" s="108">
        <f t="shared" si="9"/>
        <v>33.48101</v>
      </c>
      <c r="Y7" s="93">
        <f t="shared" si="10"/>
        <v>0.01493319</v>
      </c>
      <c r="Z7" s="104">
        <f t="shared" si="11"/>
        <v>0</v>
      </c>
      <c r="AA7" s="104">
        <f t="shared" si="12"/>
        <v>0</v>
      </c>
      <c r="AB7" s="104">
        <f t="shared" si="13"/>
        <v>0</v>
      </c>
      <c r="AC7" s="104">
        <f t="shared" si="14"/>
        <v>0</v>
      </c>
      <c r="AD7" s="105">
        <f t="shared" si="15"/>
        <v>0</v>
      </c>
      <c r="AE7" s="109"/>
      <c r="AF7" s="109"/>
      <c r="AG7" s="109"/>
      <c r="AH7" s="104">
        <f t="shared" si="16"/>
        <v>0</v>
      </c>
      <c r="AI7" s="104">
        <f t="shared" si="17"/>
        <v>0</v>
      </c>
      <c r="AJ7" s="95"/>
      <c r="AK7" s="110">
        <f t="shared" si="18"/>
        <v>0</v>
      </c>
      <c r="AL7" s="6"/>
      <c r="AM7" s="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</row>
    <row r="8" ht="15.75" customHeight="1">
      <c r="A8" s="97" t="s">
        <v>391</v>
      </c>
      <c r="B8" s="98" t="s">
        <v>371</v>
      </c>
      <c r="C8" s="99"/>
      <c r="D8" s="100"/>
      <c r="E8" s="101"/>
      <c r="F8" s="102" t="s">
        <v>392</v>
      </c>
      <c r="G8" s="102" t="s">
        <v>393</v>
      </c>
      <c r="H8" s="103">
        <v>7.0</v>
      </c>
      <c r="I8" s="102" t="s">
        <v>54</v>
      </c>
      <c r="J8" s="102" t="s">
        <v>391</v>
      </c>
      <c r="K8" s="112" t="s">
        <v>45</v>
      </c>
      <c r="L8" s="102" t="s">
        <v>34</v>
      </c>
      <c r="M8" s="102" t="s">
        <v>48</v>
      </c>
      <c r="N8" s="87">
        <v>13.28059821</v>
      </c>
      <c r="O8" s="111">
        <f t="shared" si="1"/>
        <v>13.2915414</v>
      </c>
      <c r="P8" s="104">
        <f t="shared" si="2"/>
        <v>2.1314586</v>
      </c>
      <c r="Q8" s="104">
        <f t="shared" si="3"/>
        <v>15.423</v>
      </c>
      <c r="R8" s="104">
        <f t="shared" si="4"/>
        <v>0.477</v>
      </c>
      <c r="S8" s="105">
        <f t="shared" si="5"/>
        <v>15.9</v>
      </c>
      <c r="T8" s="104">
        <f t="shared" si="6"/>
        <v>5.3</v>
      </c>
      <c r="U8" s="106">
        <v>21.2</v>
      </c>
      <c r="V8" s="106">
        <f t="shared" si="7"/>
        <v>8.48</v>
      </c>
      <c r="W8" s="107">
        <f t="shared" si="8"/>
        <v>1.155824</v>
      </c>
      <c r="X8" s="108">
        <f t="shared" si="9"/>
        <v>22.355824</v>
      </c>
      <c r="Y8" s="93">
        <f t="shared" si="10"/>
        <v>-0.01094319</v>
      </c>
      <c r="Z8" s="104">
        <f t="shared" si="11"/>
        <v>0</v>
      </c>
      <c r="AA8" s="104">
        <f t="shared" si="12"/>
        <v>0</v>
      </c>
      <c r="AB8" s="104">
        <f t="shared" si="13"/>
        <v>0</v>
      </c>
      <c r="AC8" s="104">
        <f t="shared" si="14"/>
        <v>0</v>
      </c>
      <c r="AD8" s="105">
        <f t="shared" si="15"/>
        <v>0</v>
      </c>
      <c r="AE8" s="109"/>
      <c r="AF8" s="109"/>
      <c r="AG8" s="109"/>
      <c r="AH8" s="104">
        <f t="shared" si="16"/>
        <v>0</v>
      </c>
      <c r="AI8" s="104">
        <f t="shared" si="17"/>
        <v>0</v>
      </c>
      <c r="AJ8" s="95"/>
      <c r="AK8" s="110">
        <f t="shared" si="18"/>
        <v>0</v>
      </c>
      <c r="AL8" s="6"/>
      <c r="AM8" s="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</row>
    <row r="9" ht="15.75" customHeight="1">
      <c r="A9" s="97" t="s">
        <v>55</v>
      </c>
      <c r="B9" s="98" t="s">
        <v>371</v>
      </c>
      <c r="C9" s="99"/>
      <c r="D9" s="100"/>
      <c r="E9" s="101"/>
      <c r="F9" s="102" t="s">
        <v>394</v>
      </c>
      <c r="G9" s="102" t="s">
        <v>395</v>
      </c>
      <c r="H9" s="103">
        <v>9.0</v>
      </c>
      <c r="I9" s="102" t="s">
        <v>56</v>
      </c>
      <c r="J9" s="102" t="s">
        <v>55</v>
      </c>
      <c r="K9" s="112" t="s">
        <v>45</v>
      </c>
      <c r="L9" s="102" t="s">
        <v>34</v>
      </c>
      <c r="M9" s="102" t="s">
        <v>57</v>
      </c>
      <c r="N9" s="87">
        <v>132.80598210000002</v>
      </c>
      <c r="O9" s="113">
        <f t="shared" si="1"/>
        <v>132.8060356</v>
      </c>
      <c r="P9" s="104">
        <f t="shared" si="2"/>
        <v>21.29704585</v>
      </c>
      <c r="Q9" s="104">
        <f t="shared" si="3"/>
        <v>154.1030814</v>
      </c>
      <c r="R9" s="104">
        <f t="shared" si="4"/>
        <v>4.766074683</v>
      </c>
      <c r="S9" s="105">
        <f t="shared" si="5"/>
        <v>158.8691561</v>
      </c>
      <c r="T9" s="104">
        <f t="shared" si="6"/>
        <v>52.95638536</v>
      </c>
      <c r="U9" s="106">
        <v>211.82554144950004</v>
      </c>
      <c r="V9" s="106">
        <f t="shared" si="7"/>
        <v>84.73021658</v>
      </c>
      <c r="W9" s="107">
        <f t="shared" si="8"/>
        <v>11.54872852</v>
      </c>
      <c r="X9" s="108">
        <f t="shared" si="9"/>
        <v>223.37427</v>
      </c>
      <c r="Y9" s="93">
        <f t="shared" si="10"/>
        <v>-0.00005345440781</v>
      </c>
      <c r="Z9" s="104">
        <f t="shared" si="11"/>
        <v>0</v>
      </c>
      <c r="AA9" s="104">
        <f t="shared" si="12"/>
        <v>0</v>
      </c>
      <c r="AB9" s="104">
        <f t="shared" si="13"/>
        <v>0</v>
      </c>
      <c r="AC9" s="104">
        <f t="shared" si="14"/>
        <v>0</v>
      </c>
      <c r="AD9" s="105">
        <f t="shared" si="15"/>
        <v>0</v>
      </c>
      <c r="AE9" s="109"/>
      <c r="AF9" s="109"/>
      <c r="AG9" s="109"/>
      <c r="AH9" s="104">
        <f t="shared" si="16"/>
        <v>0</v>
      </c>
      <c r="AI9" s="104">
        <f t="shared" si="17"/>
        <v>0</v>
      </c>
      <c r="AJ9" s="95"/>
      <c r="AK9" s="110">
        <f t="shared" si="18"/>
        <v>0</v>
      </c>
      <c r="AL9" s="6"/>
      <c r="AM9" s="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</row>
    <row r="10" ht="15.75" customHeight="1">
      <c r="A10" s="97" t="s">
        <v>396</v>
      </c>
      <c r="B10" s="98" t="s">
        <v>371</v>
      </c>
      <c r="C10" s="99"/>
      <c r="D10" s="100"/>
      <c r="E10" s="114"/>
      <c r="F10" s="102" t="s">
        <v>397</v>
      </c>
      <c r="G10" s="102" t="s">
        <v>398</v>
      </c>
      <c r="H10" s="103">
        <v>10.0</v>
      </c>
      <c r="I10" s="102" t="s">
        <v>59</v>
      </c>
      <c r="J10" s="102" t="s">
        <v>396</v>
      </c>
      <c r="K10" s="112" t="s">
        <v>45</v>
      </c>
      <c r="L10" s="102" t="s">
        <v>34</v>
      </c>
      <c r="M10" s="102" t="s">
        <v>60</v>
      </c>
      <c r="N10" s="87">
        <v>132.80598210000002</v>
      </c>
      <c r="O10" s="113">
        <f t="shared" si="1"/>
        <v>132.8060356</v>
      </c>
      <c r="P10" s="104">
        <f t="shared" si="2"/>
        <v>21.29704585</v>
      </c>
      <c r="Q10" s="104">
        <f t="shared" si="3"/>
        <v>154.1030814</v>
      </c>
      <c r="R10" s="104">
        <f t="shared" si="4"/>
        <v>4.766074683</v>
      </c>
      <c r="S10" s="105">
        <f t="shared" si="5"/>
        <v>158.8691561</v>
      </c>
      <c r="T10" s="104">
        <f t="shared" si="6"/>
        <v>52.95638536</v>
      </c>
      <c r="U10" s="106">
        <v>211.82554144950004</v>
      </c>
      <c r="V10" s="106">
        <f t="shared" si="7"/>
        <v>84.73021658</v>
      </c>
      <c r="W10" s="107">
        <f t="shared" si="8"/>
        <v>11.54872852</v>
      </c>
      <c r="X10" s="108">
        <f t="shared" si="9"/>
        <v>223.37427</v>
      </c>
      <c r="Y10" s="93">
        <f t="shared" si="10"/>
        <v>-0.00005345440781</v>
      </c>
      <c r="Z10" s="104">
        <f t="shared" si="11"/>
        <v>0</v>
      </c>
      <c r="AA10" s="104">
        <f t="shared" si="12"/>
        <v>0</v>
      </c>
      <c r="AB10" s="104">
        <f t="shared" si="13"/>
        <v>0</v>
      </c>
      <c r="AC10" s="104">
        <f t="shared" si="14"/>
        <v>0</v>
      </c>
      <c r="AD10" s="105">
        <f t="shared" si="15"/>
        <v>0</v>
      </c>
      <c r="AE10" s="109"/>
      <c r="AF10" s="109"/>
      <c r="AG10" s="109"/>
      <c r="AH10" s="104">
        <f t="shared" si="16"/>
        <v>0</v>
      </c>
      <c r="AI10" s="104">
        <f t="shared" si="17"/>
        <v>0</v>
      </c>
      <c r="AJ10" s="95"/>
      <c r="AK10" s="110">
        <f t="shared" si="18"/>
        <v>0</v>
      </c>
      <c r="AL10" s="115"/>
      <c r="AM10" s="6"/>
      <c r="AN10" s="5"/>
      <c r="AO10" s="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</row>
    <row r="11" ht="15.75" customHeight="1">
      <c r="A11" s="97" t="s">
        <v>61</v>
      </c>
      <c r="B11" s="98" t="s">
        <v>371</v>
      </c>
      <c r="C11" s="99"/>
      <c r="D11" s="100"/>
      <c r="E11" s="114"/>
      <c r="F11" s="102" t="s">
        <v>399</v>
      </c>
      <c r="G11" s="102" t="s">
        <v>400</v>
      </c>
      <c r="H11" s="103">
        <v>12.0</v>
      </c>
      <c r="I11" s="102" t="s">
        <v>401</v>
      </c>
      <c r="J11" s="102" t="s">
        <v>61</v>
      </c>
      <c r="K11" s="102" t="s">
        <v>63</v>
      </c>
      <c r="L11" s="102" t="s">
        <v>34</v>
      </c>
      <c r="M11" s="102" t="s">
        <v>35</v>
      </c>
      <c r="N11" s="87">
        <v>54.878505000000004</v>
      </c>
      <c r="O11" s="104">
        <f t="shared" si="1"/>
        <v>54.87852709</v>
      </c>
      <c r="P11" s="104">
        <f t="shared" si="2"/>
        <v>8.800432169</v>
      </c>
      <c r="Q11" s="104">
        <f t="shared" si="3"/>
        <v>63.67895926</v>
      </c>
      <c r="R11" s="104">
        <f t="shared" si="4"/>
        <v>1.969452348</v>
      </c>
      <c r="S11" s="105">
        <f t="shared" si="5"/>
        <v>65.64841161</v>
      </c>
      <c r="T11" s="104">
        <f t="shared" si="6"/>
        <v>21.88280387</v>
      </c>
      <c r="U11" s="106">
        <v>87.531215475</v>
      </c>
      <c r="V11" s="106">
        <f t="shared" si="7"/>
        <v>35.01248619</v>
      </c>
      <c r="W11" s="107">
        <f t="shared" si="8"/>
        <v>4.772201868</v>
      </c>
      <c r="X11" s="108">
        <f t="shared" si="9"/>
        <v>92.30341734</v>
      </c>
      <c r="Y11" s="93">
        <f t="shared" si="10"/>
        <v>-0.00002208859825</v>
      </c>
      <c r="Z11" s="104">
        <f t="shared" si="11"/>
        <v>0</v>
      </c>
      <c r="AA11" s="104">
        <f t="shared" si="12"/>
        <v>0</v>
      </c>
      <c r="AB11" s="104">
        <f t="shared" si="13"/>
        <v>0</v>
      </c>
      <c r="AC11" s="104">
        <f t="shared" si="14"/>
        <v>0</v>
      </c>
      <c r="AD11" s="105">
        <f t="shared" si="15"/>
        <v>0</v>
      </c>
      <c r="AE11" s="109"/>
      <c r="AF11" s="109"/>
      <c r="AG11" s="109"/>
      <c r="AH11" s="104">
        <f t="shared" si="16"/>
        <v>0</v>
      </c>
      <c r="AI11" s="104">
        <f t="shared" si="17"/>
        <v>0</v>
      </c>
      <c r="AJ11" s="95"/>
      <c r="AK11" s="110">
        <f t="shared" si="18"/>
        <v>0</v>
      </c>
      <c r="AL11" s="115"/>
      <c r="AM11" s="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ht="15.75" customHeight="1">
      <c r="A12" s="97" t="s">
        <v>402</v>
      </c>
      <c r="B12" s="98" t="s">
        <v>371</v>
      </c>
      <c r="C12" s="99"/>
      <c r="D12" s="100"/>
      <c r="E12" s="100"/>
      <c r="F12" s="102" t="s">
        <v>403</v>
      </c>
      <c r="G12" s="102" t="s">
        <v>404</v>
      </c>
      <c r="H12" s="103">
        <v>14.0</v>
      </c>
      <c r="I12" s="102" t="s">
        <v>68</v>
      </c>
      <c r="J12" s="102" t="s">
        <v>402</v>
      </c>
      <c r="K12" s="102" t="s">
        <v>41</v>
      </c>
      <c r="L12" s="102" t="s">
        <v>42</v>
      </c>
      <c r="M12" s="102" t="s">
        <v>35</v>
      </c>
      <c r="N12" s="87">
        <v>66.40299105000001</v>
      </c>
      <c r="O12" s="111">
        <f t="shared" si="1"/>
        <v>66.39501105</v>
      </c>
      <c r="P12" s="104">
        <f t="shared" si="2"/>
        <v>10.64723895</v>
      </c>
      <c r="Q12" s="104">
        <f t="shared" si="3"/>
        <v>77.04225</v>
      </c>
      <c r="R12" s="104">
        <f t="shared" si="4"/>
        <v>2.38275</v>
      </c>
      <c r="S12" s="105">
        <f t="shared" si="5"/>
        <v>79.425</v>
      </c>
      <c r="T12" s="104">
        <f t="shared" si="6"/>
        <v>26.475</v>
      </c>
      <c r="U12" s="106">
        <v>105.9</v>
      </c>
      <c r="V12" s="106">
        <f t="shared" si="7"/>
        <v>42.36</v>
      </c>
      <c r="W12" s="107">
        <f t="shared" si="8"/>
        <v>5.773668</v>
      </c>
      <c r="X12" s="108">
        <f t="shared" si="9"/>
        <v>111.673668</v>
      </c>
      <c r="Y12" s="93">
        <f t="shared" si="10"/>
        <v>0.00798</v>
      </c>
      <c r="Z12" s="104">
        <f t="shared" si="11"/>
        <v>0</v>
      </c>
      <c r="AA12" s="104">
        <f t="shared" si="12"/>
        <v>0</v>
      </c>
      <c r="AB12" s="104">
        <f t="shared" si="13"/>
        <v>0</v>
      </c>
      <c r="AC12" s="104">
        <f t="shared" si="14"/>
        <v>0</v>
      </c>
      <c r="AD12" s="105">
        <f t="shared" si="15"/>
        <v>0</v>
      </c>
      <c r="AE12" s="109"/>
      <c r="AF12" s="109"/>
      <c r="AG12" s="109"/>
      <c r="AH12" s="104">
        <f t="shared" si="16"/>
        <v>0</v>
      </c>
      <c r="AI12" s="104">
        <f t="shared" si="17"/>
        <v>0</v>
      </c>
      <c r="AJ12" s="95"/>
      <c r="AK12" s="110">
        <f t="shared" si="18"/>
        <v>0</v>
      </c>
      <c r="AL12" s="6"/>
      <c r="AM12" s="6"/>
      <c r="AN12" s="6"/>
      <c r="AO12" s="6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</row>
    <row r="13" ht="15.75" customHeight="1">
      <c r="A13" s="97" t="s">
        <v>69</v>
      </c>
      <c r="B13" s="98" t="s">
        <v>371</v>
      </c>
      <c r="C13" s="99"/>
      <c r="D13" s="100"/>
      <c r="E13" s="100"/>
      <c r="F13" s="102" t="s">
        <v>405</v>
      </c>
      <c r="G13" s="102" t="s">
        <v>406</v>
      </c>
      <c r="H13" s="103">
        <v>15.0</v>
      </c>
      <c r="I13" s="102" t="s">
        <v>70</v>
      </c>
      <c r="J13" s="102" t="s">
        <v>69</v>
      </c>
      <c r="K13" s="102" t="s">
        <v>45</v>
      </c>
      <c r="L13" s="102" t="s">
        <v>34</v>
      </c>
      <c r="M13" s="102" t="s">
        <v>57</v>
      </c>
      <c r="N13" s="87">
        <v>199.20897315000002</v>
      </c>
      <c r="O13" s="111">
        <f t="shared" si="1"/>
        <v>199.2101115</v>
      </c>
      <c r="P13" s="104">
        <f t="shared" si="2"/>
        <v>31.94573847</v>
      </c>
      <c r="Q13" s="104">
        <f t="shared" si="3"/>
        <v>231.15585</v>
      </c>
      <c r="R13" s="104">
        <f t="shared" si="4"/>
        <v>7.14915</v>
      </c>
      <c r="S13" s="105">
        <f t="shared" si="5"/>
        <v>238.305</v>
      </c>
      <c r="T13" s="104">
        <f t="shared" si="6"/>
        <v>79.435</v>
      </c>
      <c r="U13" s="106">
        <v>317.74</v>
      </c>
      <c r="V13" s="106">
        <f t="shared" si="7"/>
        <v>127.096</v>
      </c>
      <c r="W13" s="107">
        <f t="shared" si="8"/>
        <v>17.3231848</v>
      </c>
      <c r="X13" s="108">
        <f t="shared" si="9"/>
        <v>335.0631848</v>
      </c>
      <c r="Y13" s="93">
        <f t="shared" si="10"/>
        <v>-0.00113838</v>
      </c>
      <c r="Z13" s="104">
        <f t="shared" si="11"/>
        <v>0</v>
      </c>
      <c r="AA13" s="104">
        <f t="shared" si="12"/>
        <v>0</v>
      </c>
      <c r="AB13" s="104">
        <f t="shared" si="13"/>
        <v>0</v>
      </c>
      <c r="AC13" s="104">
        <f t="shared" si="14"/>
        <v>0</v>
      </c>
      <c r="AD13" s="105">
        <f t="shared" si="15"/>
        <v>0</v>
      </c>
      <c r="AE13" s="109"/>
      <c r="AF13" s="109"/>
      <c r="AG13" s="109"/>
      <c r="AH13" s="104">
        <f t="shared" si="16"/>
        <v>0</v>
      </c>
      <c r="AI13" s="104">
        <f t="shared" si="17"/>
        <v>0</v>
      </c>
      <c r="AJ13" s="95"/>
      <c r="AK13" s="110">
        <f t="shared" si="18"/>
        <v>0</v>
      </c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ht="15.75" customHeight="1">
      <c r="A14" s="97" t="s">
        <v>71</v>
      </c>
      <c r="B14" s="98" t="s">
        <v>371</v>
      </c>
      <c r="C14" s="99"/>
      <c r="D14" s="100"/>
      <c r="E14" s="100"/>
      <c r="F14" s="102" t="s">
        <v>407</v>
      </c>
      <c r="G14" s="102" t="s">
        <v>408</v>
      </c>
      <c r="H14" s="103">
        <v>16.0</v>
      </c>
      <c r="I14" s="102" t="s">
        <v>409</v>
      </c>
      <c r="J14" s="102" t="s">
        <v>71</v>
      </c>
      <c r="K14" s="102" t="s">
        <v>45</v>
      </c>
      <c r="L14" s="102" t="s">
        <v>34</v>
      </c>
      <c r="M14" s="102" t="s">
        <v>73</v>
      </c>
      <c r="N14" s="87">
        <v>6.640299105</v>
      </c>
      <c r="O14" s="111">
        <f t="shared" si="1"/>
        <v>6.639501105</v>
      </c>
      <c r="P14" s="104">
        <f t="shared" si="2"/>
        <v>1.064723895</v>
      </c>
      <c r="Q14" s="104">
        <f t="shared" si="3"/>
        <v>7.704225</v>
      </c>
      <c r="R14" s="104">
        <f t="shared" si="4"/>
        <v>0.238275</v>
      </c>
      <c r="S14" s="105">
        <f t="shared" si="5"/>
        <v>7.9425</v>
      </c>
      <c r="T14" s="104">
        <f t="shared" si="6"/>
        <v>2.6475</v>
      </c>
      <c r="U14" s="106">
        <v>10.59</v>
      </c>
      <c r="V14" s="106">
        <f t="shared" si="7"/>
        <v>4.236</v>
      </c>
      <c r="W14" s="107">
        <f t="shared" si="8"/>
        <v>0.5773668</v>
      </c>
      <c r="X14" s="108">
        <f t="shared" si="9"/>
        <v>11.1673668</v>
      </c>
      <c r="Y14" s="93">
        <f t="shared" si="10"/>
        <v>0.000798</v>
      </c>
      <c r="Z14" s="104">
        <f t="shared" si="11"/>
        <v>0</v>
      </c>
      <c r="AA14" s="104">
        <f t="shared" si="12"/>
        <v>0</v>
      </c>
      <c r="AB14" s="104">
        <f t="shared" si="13"/>
        <v>0</v>
      </c>
      <c r="AC14" s="104">
        <f t="shared" si="14"/>
        <v>0</v>
      </c>
      <c r="AD14" s="105">
        <f t="shared" si="15"/>
        <v>0</v>
      </c>
      <c r="AE14" s="109"/>
      <c r="AF14" s="109"/>
      <c r="AG14" s="109"/>
      <c r="AH14" s="104">
        <f t="shared" si="16"/>
        <v>0</v>
      </c>
      <c r="AI14" s="104">
        <f t="shared" si="17"/>
        <v>0</v>
      </c>
      <c r="AJ14" s="95"/>
      <c r="AK14" s="110">
        <f t="shared" si="18"/>
        <v>0</v>
      </c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ht="15.75" customHeight="1">
      <c r="A15" s="97" t="s">
        <v>410</v>
      </c>
      <c r="B15" s="98" t="s">
        <v>371</v>
      </c>
      <c r="C15" s="99"/>
      <c r="D15" s="100"/>
      <c r="E15" s="100"/>
      <c r="F15" s="102" t="s">
        <v>411</v>
      </c>
      <c r="G15" s="102" t="s">
        <v>412</v>
      </c>
      <c r="H15" s="103">
        <v>17.0</v>
      </c>
      <c r="I15" s="102" t="s">
        <v>75</v>
      </c>
      <c r="J15" s="102" t="s">
        <v>410</v>
      </c>
      <c r="K15" s="102" t="s">
        <v>76</v>
      </c>
      <c r="L15" s="102" t="s">
        <v>66</v>
      </c>
      <c r="M15" s="102" t="s">
        <v>35</v>
      </c>
      <c r="N15" s="87">
        <v>199.20897315000002</v>
      </c>
      <c r="O15" s="111">
        <f t="shared" si="1"/>
        <v>199.2101115</v>
      </c>
      <c r="P15" s="104">
        <f t="shared" si="2"/>
        <v>31.94573847</v>
      </c>
      <c r="Q15" s="104">
        <f t="shared" si="3"/>
        <v>231.15585</v>
      </c>
      <c r="R15" s="104">
        <f t="shared" si="4"/>
        <v>7.14915</v>
      </c>
      <c r="S15" s="105">
        <f t="shared" si="5"/>
        <v>238.305</v>
      </c>
      <c r="T15" s="104">
        <f t="shared" si="6"/>
        <v>79.435</v>
      </c>
      <c r="U15" s="106">
        <v>317.74</v>
      </c>
      <c r="V15" s="106">
        <f t="shared" si="7"/>
        <v>127.096</v>
      </c>
      <c r="W15" s="107">
        <f t="shared" si="8"/>
        <v>17.3231848</v>
      </c>
      <c r="X15" s="108">
        <f t="shared" si="9"/>
        <v>335.0631848</v>
      </c>
      <c r="Y15" s="93">
        <f t="shared" si="10"/>
        <v>-0.00113838</v>
      </c>
      <c r="Z15" s="104">
        <f t="shared" si="11"/>
        <v>0</v>
      </c>
      <c r="AA15" s="104">
        <f t="shared" si="12"/>
        <v>0</v>
      </c>
      <c r="AB15" s="104">
        <f t="shared" si="13"/>
        <v>0</v>
      </c>
      <c r="AC15" s="104">
        <f t="shared" si="14"/>
        <v>0</v>
      </c>
      <c r="AD15" s="105">
        <f t="shared" si="15"/>
        <v>0</v>
      </c>
      <c r="AE15" s="109"/>
      <c r="AF15" s="109"/>
      <c r="AG15" s="109"/>
      <c r="AH15" s="104">
        <f t="shared" si="16"/>
        <v>0</v>
      </c>
      <c r="AI15" s="104">
        <f t="shared" si="17"/>
        <v>0</v>
      </c>
      <c r="AJ15" s="95"/>
      <c r="AK15" s="110">
        <f t="shared" si="18"/>
        <v>0</v>
      </c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ht="15.75" customHeight="1">
      <c r="A16" s="97" t="s">
        <v>77</v>
      </c>
      <c r="B16" s="98" t="s">
        <v>371</v>
      </c>
      <c r="C16" s="99"/>
      <c r="D16" s="100"/>
      <c r="E16" s="116" t="s">
        <v>372</v>
      </c>
      <c r="F16" s="102" t="s">
        <v>413</v>
      </c>
      <c r="G16" s="102" t="s">
        <v>414</v>
      </c>
      <c r="H16" s="103">
        <v>18.0</v>
      </c>
      <c r="I16" s="102" t="s">
        <v>78</v>
      </c>
      <c r="J16" s="102" t="s">
        <v>77</v>
      </c>
      <c r="K16" s="102" t="s">
        <v>375</v>
      </c>
      <c r="L16" s="102" t="s">
        <v>30</v>
      </c>
      <c r="M16" s="117" t="s">
        <v>415</v>
      </c>
      <c r="N16" s="87">
        <v>10.975701</v>
      </c>
      <c r="O16" s="113">
        <f t="shared" si="1"/>
        <v>10.97570542</v>
      </c>
      <c r="P16" s="104">
        <f t="shared" si="2"/>
        <v>1.760086434</v>
      </c>
      <c r="Q16" s="104">
        <f t="shared" si="3"/>
        <v>12.73579185</v>
      </c>
      <c r="R16" s="104">
        <f t="shared" si="4"/>
        <v>0.3938904696</v>
      </c>
      <c r="S16" s="105">
        <f t="shared" si="5"/>
        <v>13.12968232</v>
      </c>
      <c r="T16" s="104">
        <f t="shared" si="6"/>
        <v>4.376560774</v>
      </c>
      <c r="U16" s="106">
        <v>17.506243095</v>
      </c>
      <c r="V16" s="106">
        <f t="shared" si="7"/>
        <v>7.002497238</v>
      </c>
      <c r="W16" s="107">
        <f t="shared" si="8"/>
        <v>0.9544403735</v>
      </c>
      <c r="X16" s="108">
        <f t="shared" si="9"/>
        <v>18.46068347</v>
      </c>
      <c r="Y16" s="93">
        <f t="shared" si="10"/>
        <v>-0.000004417719651</v>
      </c>
      <c r="Z16" s="104">
        <f t="shared" si="11"/>
        <v>0</v>
      </c>
      <c r="AA16" s="104">
        <f t="shared" si="12"/>
        <v>0</v>
      </c>
      <c r="AB16" s="104">
        <f t="shared" si="13"/>
        <v>0</v>
      </c>
      <c r="AC16" s="104">
        <f t="shared" si="14"/>
        <v>0</v>
      </c>
      <c r="AD16" s="105">
        <f t="shared" si="15"/>
        <v>0</v>
      </c>
      <c r="AE16" s="109"/>
      <c r="AF16" s="109"/>
      <c r="AG16" s="109"/>
      <c r="AH16" s="104">
        <f t="shared" si="16"/>
        <v>0</v>
      </c>
      <c r="AI16" s="104">
        <f t="shared" si="17"/>
        <v>0</v>
      </c>
      <c r="AJ16" s="95"/>
      <c r="AK16" s="110">
        <f t="shared" si="18"/>
        <v>0</v>
      </c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ht="15.75" customHeight="1">
      <c r="A17" s="97" t="s">
        <v>416</v>
      </c>
      <c r="B17" s="98" t="s">
        <v>371</v>
      </c>
      <c r="C17" s="99"/>
      <c r="D17" s="100"/>
      <c r="E17" s="116" t="s">
        <v>372</v>
      </c>
      <c r="F17" s="102" t="s">
        <v>417</v>
      </c>
      <c r="G17" s="102" t="s">
        <v>418</v>
      </c>
      <c r="H17" s="103">
        <v>19.0</v>
      </c>
      <c r="I17" s="102" t="s">
        <v>80</v>
      </c>
      <c r="J17" s="102" t="s">
        <v>416</v>
      </c>
      <c r="K17" s="102" t="s">
        <v>375</v>
      </c>
      <c r="L17" s="102" t="s">
        <v>30</v>
      </c>
      <c r="M17" s="117" t="s">
        <v>415</v>
      </c>
      <c r="N17" s="87">
        <v>65.854206</v>
      </c>
      <c r="O17" s="113">
        <f t="shared" si="1"/>
        <v>65.84735119</v>
      </c>
      <c r="P17" s="104">
        <f t="shared" si="2"/>
        <v>10.5594151</v>
      </c>
      <c r="Q17" s="104">
        <f t="shared" si="3"/>
        <v>76.40676629</v>
      </c>
      <c r="R17" s="104">
        <f t="shared" si="4"/>
        <v>2.363095865</v>
      </c>
      <c r="S17" s="105">
        <f t="shared" si="5"/>
        <v>78.76986215</v>
      </c>
      <c r="T17" s="104">
        <f t="shared" si="6"/>
        <v>26.25662072</v>
      </c>
      <c r="U17" s="106">
        <v>105.02648286899999</v>
      </c>
      <c r="V17" s="106">
        <f t="shared" si="7"/>
        <v>42.01059315</v>
      </c>
      <c r="W17" s="107">
        <f t="shared" si="8"/>
        <v>5.726043846</v>
      </c>
      <c r="X17" s="108">
        <f t="shared" si="9"/>
        <v>110.7525267</v>
      </c>
      <c r="Y17" s="93">
        <f t="shared" si="10"/>
        <v>0.006854813693</v>
      </c>
      <c r="Z17" s="104">
        <f t="shared" si="11"/>
        <v>0</v>
      </c>
      <c r="AA17" s="104">
        <f t="shared" si="12"/>
        <v>0</v>
      </c>
      <c r="AB17" s="104">
        <f t="shared" si="13"/>
        <v>0</v>
      </c>
      <c r="AC17" s="104">
        <f t="shared" si="14"/>
        <v>0</v>
      </c>
      <c r="AD17" s="105">
        <f t="shared" si="15"/>
        <v>0</v>
      </c>
      <c r="AE17" s="109"/>
      <c r="AF17" s="109"/>
      <c r="AG17" s="109"/>
      <c r="AH17" s="104">
        <f t="shared" si="16"/>
        <v>0</v>
      </c>
      <c r="AI17" s="104">
        <f t="shared" si="17"/>
        <v>0</v>
      </c>
      <c r="AJ17" s="95"/>
      <c r="AK17" s="110">
        <f t="shared" si="18"/>
        <v>0</v>
      </c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ht="15.75" customHeight="1">
      <c r="A18" s="97" t="s">
        <v>81</v>
      </c>
      <c r="B18" s="98" t="s">
        <v>371</v>
      </c>
      <c r="C18" s="99"/>
      <c r="D18" s="100"/>
      <c r="E18" s="100"/>
      <c r="F18" s="102" t="s">
        <v>419</v>
      </c>
      <c r="G18" s="102" t="s">
        <v>420</v>
      </c>
      <c r="H18" s="103">
        <v>20.0</v>
      </c>
      <c r="I18" s="102" t="s">
        <v>82</v>
      </c>
      <c r="J18" s="102" t="s">
        <v>81</v>
      </c>
      <c r="K18" s="102" t="s">
        <v>63</v>
      </c>
      <c r="L18" s="102" t="s">
        <v>34</v>
      </c>
      <c r="M18" s="117" t="s">
        <v>421</v>
      </c>
      <c r="N18" s="87">
        <v>109.75701000000001</v>
      </c>
      <c r="O18" s="113">
        <f t="shared" si="1"/>
        <v>109.7501729</v>
      </c>
      <c r="P18" s="104">
        <f t="shared" si="2"/>
        <v>17.59976084</v>
      </c>
      <c r="Q18" s="104">
        <f t="shared" si="3"/>
        <v>127.3499337</v>
      </c>
      <c r="R18" s="104">
        <f t="shared" si="4"/>
        <v>3.938657743</v>
      </c>
      <c r="S18" s="105">
        <f t="shared" si="5"/>
        <v>131.2885914</v>
      </c>
      <c r="T18" s="104">
        <f t="shared" si="6"/>
        <v>43.76286381</v>
      </c>
      <c r="U18" s="106">
        <v>175.051455249</v>
      </c>
      <c r="V18" s="106">
        <f t="shared" si="7"/>
        <v>70.0205821</v>
      </c>
      <c r="W18" s="107">
        <f t="shared" si="8"/>
        <v>9.54380534</v>
      </c>
      <c r="X18" s="108">
        <f t="shared" si="9"/>
        <v>184.5952606</v>
      </c>
      <c r="Y18" s="93">
        <f t="shared" si="10"/>
        <v>0.006837142815</v>
      </c>
      <c r="Z18" s="104">
        <f t="shared" si="11"/>
        <v>0</v>
      </c>
      <c r="AA18" s="104">
        <f t="shared" si="12"/>
        <v>0</v>
      </c>
      <c r="AB18" s="104">
        <f t="shared" si="13"/>
        <v>0</v>
      </c>
      <c r="AC18" s="104">
        <f t="shared" si="14"/>
        <v>0</v>
      </c>
      <c r="AD18" s="105">
        <f t="shared" si="15"/>
        <v>0</v>
      </c>
      <c r="AE18" s="109"/>
      <c r="AF18" s="109"/>
      <c r="AG18" s="109"/>
      <c r="AH18" s="104">
        <f t="shared" si="16"/>
        <v>0</v>
      </c>
      <c r="AI18" s="104">
        <f t="shared" si="17"/>
        <v>0</v>
      </c>
      <c r="AJ18" s="95"/>
      <c r="AK18" s="110">
        <f t="shared" si="18"/>
        <v>0</v>
      </c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ht="15.75" customHeight="1">
      <c r="A19" s="97" t="s">
        <v>83</v>
      </c>
      <c r="B19" s="98" t="s">
        <v>371</v>
      </c>
      <c r="C19" s="99"/>
      <c r="D19" s="100"/>
      <c r="E19" s="100"/>
      <c r="F19" s="102" t="s">
        <v>422</v>
      </c>
      <c r="G19" s="102" t="s">
        <v>423</v>
      </c>
      <c r="H19" s="103">
        <v>21.0</v>
      </c>
      <c r="I19" s="102" t="s">
        <v>84</v>
      </c>
      <c r="J19" s="102" t="s">
        <v>83</v>
      </c>
      <c r="K19" s="102" t="s">
        <v>63</v>
      </c>
      <c r="L19" s="102" t="s">
        <v>34</v>
      </c>
      <c r="M19" s="102" t="s">
        <v>73</v>
      </c>
      <c r="N19" s="87">
        <v>25.0</v>
      </c>
      <c r="O19" s="113">
        <f t="shared" si="1"/>
        <v>24.99836514</v>
      </c>
      <c r="P19" s="104">
        <f t="shared" si="2"/>
        <v>4.008788654</v>
      </c>
      <c r="Q19" s="104">
        <f t="shared" si="3"/>
        <v>29.00715379</v>
      </c>
      <c r="R19" s="104">
        <f t="shared" si="4"/>
        <v>0.8971284679</v>
      </c>
      <c r="S19" s="105">
        <f t="shared" si="5"/>
        <v>29.90428226</v>
      </c>
      <c r="T19" s="104">
        <f t="shared" si="6"/>
        <v>9.968094088</v>
      </c>
      <c r="U19" s="118">
        <v>39.872376350383966</v>
      </c>
      <c r="V19" s="106">
        <f t="shared" si="7"/>
        <v>15.94895054</v>
      </c>
      <c r="W19" s="107">
        <f t="shared" si="8"/>
        <v>2.173841959</v>
      </c>
      <c r="X19" s="108">
        <f t="shared" si="9"/>
        <v>42.04621831</v>
      </c>
      <c r="Y19" s="93">
        <f t="shared" si="10"/>
        <v>0.001634859551</v>
      </c>
      <c r="Z19" s="104">
        <f t="shared" si="11"/>
        <v>0</v>
      </c>
      <c r="AA19" s="104">
        <f t="shared" si="12"/>
        <v>0</v>
      </c>
      <c r="AB19" s="104">
        <f t="shared" si="13"/>
        <v>0</v>
      </c>
      <c r="AC19" s="104">
        <f t="shared" si="14"/>
        <v>0</v>
      </c>
      <c r="AD19" s="105">
        <f t="shared" si="15"/>
        <v>0</v>
      </c>
      <c r="AE19" s="109"/>
      <c r="AF19" s="109"/>
      <c r="AG19" s="109"/>
      <c r="AH19" s="104">
        <f t="shared" si="16"/>
        <v>0</v>
      </c>
      <c r="AI19" s="104">
        <f t="shared" si="17"/>
        <v>0</v>
      </c>
      <c r="AJ19" s="95"/>
      <c r="AK19" s="110">
        <f t="shared" si="18"/>
        <v>0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ht="15.75" customHeight="1">
      <c r="A20" s="97" t="s">
        <v>85</v>
      </c>
      <c r="B20" s="98" t="s">
        <v>371</v>
      </c>
      <c r="C20" s="99"/>
      <c r="D20" s="100"/>
      <c r="E20" s="100"/>
      <c r="F20" s="102" t="s">
        <v>424</v>
      </c>
      <c r="G20" s="102" t="s">
        <v>425</v>
      </c>
      <c r="H20" s="103">
        <v>22.0</v>
      </c>
      <c r="I20" s="102" t="s">
        <v>86</v>
      </c>
      <c r="J20" s="102" t="s">
        <v>85</v>
      </c>
      <c r="K20" s="102" t="s">
        <v>63</v>
      </c>
      <c r="L20" s="102" t="s">
        <v>42</v>
      </c>
      <c r="M20" s="102" t="s">
        <v>73</v>
      </c>
      <c r="N20" s="87">
        <v>25.0</v>
      </c>
      <c r="O20" s="104">
        <f t="shared" si="1"/>
        <v>24.99687527</v>
      </c>
      <c r="P20" s="104">
        <f t="shared" si="2"/>
        <v>4.008549735</v>
      </c>
      <c r="Q20" s="104">
        <f t="shared" si="3"/>
        <v>29.005425</v>
      </c>
      <c r="R20" s="104">
        <f t="shared" si="4"/>
        <v>0.897075</v>
      </c>
      <c r="S20" s="105">
        <f t="shared" si="5"/>
        <v>29.9025</v>
      </c>
      <c r="T20" s="104">
        <f t="shared" si="6"/>
        <v>9.9675</v>
      </c>
      <c r="U20" s="106">
        <v>39.87</v>
      </c>
      <c r="V20" s="106">
        <f t="shared" si="7"/>
        <v>15.948</v>
      </c>
      <c r="W20" s="107">
        <f t="shared" si="8"/>
        <v>2.1737124</v>
      </c>
      <c r="X20" s="108">
        <f t="shared" si="9"/>
        <v>42.0437124</v>
      </c>
      <c r="Y20" s="93">
        <f t="shared" si="10"/>
        <v>0.003124735</v>
      </c>
      <c r="Z20" s="104">
        <f t="shared" si="11"/>
        <v>0</v>
      </c>
      <c r="AA20" s="104">
        <f t="shared" si="12"/>
        <v>0</v>
      </c>
      <c r="AB20" s="104">
        <f t="shared" si="13"/>
        <v>0</v>
      </c>
      <c r="AC20" s="104">
        <f t="shared" si="14"/>
        <v>0</v>
      </c>
      <c r="AD20" s="105">
        <f t="shared" si="15"/>
        <v>0</v>
      </c>
      <c r="AE20" s="109"/>
      <c r="AF20" s="109"/>
      <c r="AG20" s="109"/>
      <c r="AH20" s="104">
        <f t="shared" si="16"/>
        <v>0</v>
      </c>
      <c r="AI20" s="104">
        <f t="shared" si="17"/>
        <v>0</v>
      </c>
      <c r="AJ20" s="95"/>
      <c r="AK20" s="110">
        <f t="shared" si="18"/>
        <v>0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ht="15.75" customHeight="1">
      <c r="A21" s="97" t="s">
        <v>87</v>
      </c>
      <c r="B21" s="98" t="s">
        <v>371</v>
      </c>
      <c r="C21" s="99"/>
      <c r="D21" s="100"/>
      <c r="E21" s="100"/>
      <c r="F21" s="102" t="s">
        <v>426</v>
      </c>
      <c r="G21" s="102" t="s">
        <v>427</v>
      </c>
      <c r="H21" s="103">
        <v>23.0</v>
      </c>
      <c r="I21" s="102" t="s">
        <v>88</v>
      </c>
      <c r="J21" s="102" t="s">
        <v>87</v>
      </c>
      <c r="K21" s="102" t="s">
        <v>41</v>
      </c>
      <c r="L21" s="102" t="s">
        <v>34</v>
      </c>
      <c r="M21" s="102" t="s">
        <v>35</v>
      </c>
      <c r="N21" s="87">
        <v>59.762691945000014</v>
      </c>
      <c r="O21" s="111">
        <f t="shared" si="1"/>
        <v>59.75738298</v>
      </c>
      <c r="P21" s="104">
        <f t="shared" si="2"/>
        <v>9.582815418</v>
      </c>
      <c r="Q21" s="104">
        <f t="shared" si="3"/>
        <v>69.34019839</v>
      </c>
      <c r="R21" s="104">
        <f t="shared" si="4"/>
        <v>2.144542218</v>
      </c>
      <c r="S21" s="105">
        <f t="shared" si="5"/>
        <v>71.48474061</v>
      </c>
      <c r="T21" s="104">
        <f t="shared" si="6"/>
        <v>23.82824687</v>
      </c>
      <c r="U21" s="106">
        <v>95.312987484</v>
      </c>
      <c r="V21" s="106">
        <f t="shared" si="7"/>
        <v>38.12519499</v>
      </c>
      <c r="W21" s="107">
        <f t="shared" si="8"/>
        <v>5.196464078</v>
      </c>
      <c r="X21" s="108">
        <f t="shared" si="9"/>
        <v>100.5094516</v>
      </c>
      <c r="Y21" s="93">
        <f t="shared" si="10"/>
        <v>0.005308968525</v>
      </c>
      <c r="Z21" s="104">
        <f t="shared" si="11"/>
        <v>0</v>
      </c>
      <c r="AA21" s="104">
        <f t="shared" si="12"/>
        <v>0</v>
      </c>
      <c r="AB21" s="104">
        <f t="shared" si="13"/>
        <v>0</v>
      </c>
      <c r="AC21" s="104">
        <f t="shared" si="14"/>
        <v>0</v>
      </c>
      <c r="AD21" s="105">
        <f t="shared" si="15"/>
        <v>0</v>
      </c>
      <c r="AE21" s="109"/>
      <c r="AF21" s="109"/>
      <c r="AG21" s="109"/>
      <c r="AH21" s="104">
        <f t="shared" si="16"/>
        <v>0</v>
      </c>
      <c r="AI21" s="104">
        <f t="shared" si="17"/>
        <v>0</v>
      </c>
      <c r="AJ21" s="95"/>
      <c r="AK21" s="110">
        <f t="shared" si="18"/>
        <v>0</v>
      </c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ht="15.75" customHeight="1">
      <c r="A22" s="97" t="s">
        <v>89</v>
      </c>
      <c r="B22" s="98" t="s">
        <v>371</v>
      </c>
      <c r="C22" s="99"/>
      <c r="D22" s="100"/>
      <c r="E22" s="100"/>
      <c r="F22" s="102" t="s">
        <v>428</v>
      </c>
      <c r="G22" s="102" t="s">
        <v>429</v>
      </c>
      <c r="H22" s="103">
        <v>24.0</v>
      </c>
      <c r="I22" s="102" t="s">
        <v>90</v>
      </c>
      <c r="J22" s="102" t="s">
        <v>89</v>
      </c>
      <c r="K22" s="102" t="s">
        <v>41</v>
      </c>
      <c r="L22" s="102" t="s">
        <v>34</v>
      </c>
      <c r="M22" s="102" t="s">
        <v>35</v>
      </c>
      <c r="N22" s="87">
        <v>79.68358926</v>
      </c>
      <c r="O22" s="104">
        <f t="shared" si="1"/>
        <v>79.68362133</v>
      </c>
      <c r="P22" s="104">
        <f t="shared" si="2"/>
        <v>12.77822751</v>
      </c>
      <c r="Q22" s="104">
        <f t="shared" si="3"/>
        <v>92.46184884</v>
      </c>
      <c r="R22" s="104">
        <f t="shared" si="4"/>
        <v>2.85964481</v>
      </c>
      <c r="S22" s="105">
        <f t="shared" si="5"/>
        <v>95.32149365</v>
      </c>
      <c r="T22" s="104">
        <f t="shared" si="6"/>
        <v>31.77383122</v>
      </c>
      <c r="U22" s="106">
        <v>127.09532486970002</v>
      </c>
      <c r="V22" s="106">
        <f t="shared" si="7"/>
        <v>50.83812995</v>
      </c>
      <c r="W22" s="107">
        <f t="shared" si="8"/>
        <v>6.929237112</v>
      </c>
      <c r="X22" s="108">
        <f t="shared" si="9"/>
        <v>134.024562</v>
      </c>
      <c r="Y22" s="93">
        <f t="shared" si="10"/>
        <v>-0.00003207264469</v>
      </c>
      <c r="Z22" s="104">
        <f t="shared" si="11"/>
        <v>0</v>
      </c>
      <c r="AA22" s="104">
        <f t="shared" si="12"/>
        <v>0</v>
      </c>
      <c r="AB22" s="104">
        <f t="shared" si="13"/>
        <v>0</v>
      </c>
      <c r="AC22" s="104">
        <f t="shared" si="14"/>
        <v>0</v>
      </c>
      <c r="AD22" s="105">
        <f t="shared" si="15"/>
        <v>0</v>
      </c>
      <c r="AE22" s="109"/>
      <c r="AF22" s="109"/>
      <c r="AG22" s="109"/>
      <c r="AH22" s="104">
        <f t="shared" si="16"/>
        <v>0</v>
      </c>
      <c r="AI22" s="104">
        <f t="shared" si="17"/>
        <v>0</v>
      </c>
      <c r="AJ22" s="95"/>
      <c r="AK22" s="110">
        <f t="shared" si="18"/>
        <v>0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ht="15.75" customHeight="1">
      <c r="A23" s="97" t="s">
        <v>430</v>
      </c>
      <c r="B23" s="98" t="s">
        <v>371</v>
      </c>
      <c r="C23" s="119" t="s">
        <v>431</v>
      </c>
      <c r="D23" s="100"/>
      <c r="E23" s="101"/>
      <c r="F23" s="101"/>
      <c r="G23" s="102" t="s">
        <v>432</v>
      </c>
      <c r="H23" s="103">
        <v>130.0</v>
      </c>
      <c r="I23" s="102" t="s">
        <v>433</v>
      </c>
      <c r="J23" s="112" t="s">
        <v>434</v>
      </c>
      <c r="K23" s="102" t="s">
        <v>435</v>
      </c>
      <c r="L23" s="120" t="s">
        <v>42</v>
      </c>
      <c r="M23" s="117" t="s">
        <v>415</v>
      </c>
      <c r="N23" s="87">
        <v>219.51402000000002</v>
      </c>
      <c r="O23" s="104">
        <f t="shared" si="1"/>
        <v>219.518709</v>
      </c>
      <c r="P23" s="104">
        <f t="shared" si="2"/>
        <v>35.20246645</v>
      </c>
      <c r="Q23" s="104">
        <f t="shared" si="3"/>
        <v>254.7211755</v>
      </c>
      <c r="R23" s="104">
        <f t="shared" si="4"/>
        <v>7.8779745</v>
      </c>
      <c r="S23" s="105">
        <f t="shared" si="5"/>
        <v>262.59915</v>
      </c>
      <c r="T23" s="104">
        <f t="shared" si="6"/>
        <v>87.53305</v>
      </c>
      <c r="U23" s="106">
        <v>350.1322</v>
      </c>
      <c r="V23" s="106">
        <f t="shared" si="7"/>
        <v>140.05288</v>
      </c>
      <c r="W23" s="107">
        <f t="shared" si="8"/>
        <v>19.08920754</v>
      </c>
      <c r="X23" s="108">
        <f t="shared" si="9"/>
        <v>369.2214075</v>
      </c>
      <c r="Y23" s="93">
        <f t="shared" si="10"/>
        <v>-0.0046890459</v>
      </c>
      <c r="Z23" s="104">
        <f t="shared" si="11"/>
        <v>0</v>
      </c>
      <c r="AA23" s="104">
        <f t="shared" si="12"/>
        <v>0</v>
      </c>
      <c r="AB23" s="104">
        <f t="shared" si="13"/>
        <v>0</v>
      </c>
      <c r="AC23" s="104">
        <f t="shared" si="14"/>
        <v>0</v>
      </c>
      <c r="AD23" s="105">
        <f t="shared" si="15"/>
        <v>0</v>
      </c>
      <c r="AE23" s="109"/>
      <c r="AF23" s="109"/>
      <c r="AG23" s="109"/>
      <c r="AH23" s="104">
        <f t="shared" si="16"/>
        <v>0</v>
      </c>
      <c r="AI23" s="104">
        <f t="shared" si="17"/>
        <v>0</v>
      </c>
      <c r="AJ23" s="95"/>
      <c r="AK23" s="110">
        <f t="shared" si="18"/>
        <v>0</v>
      </c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ht="15.75" customHeight="1">
      <c r="A24" s="97" t="s">
        <v>436</v>
      </c>
      <c r="B24" s="98" t="s">
        <v>371</v>
      </c>
      <c r="C24" s="99"/>
      <c r="D24" s="100"/>
      <c r="E24" s="100"/>
      <c r="F24" s="102" t="s">
        <v>437</v>
      </c>
      <c r="G24" s="102" t="s">
        <v>438</v>
      </c>
      <c r="H24" s="103">
        <v>25.0</v>
      </c>
      <c r="I24" s="81" t="s">
        <v>96</v>
      </c>
      <c r="J24" s="102" t="s">
        <v>439</v>
      </c>
      <c r="K24" s="102" t="s">
        <v>97</v>
      </c>
      <c r="L24" s="102" t="s">
        <v>94</v>
      </c>
      <c r="M24" s="102" t="s">
        <v>98</v>
      </c>
      <c r="N24" s="87">
        <v>66.40299105000001</v>
      </c>
      <c r="O24" s="111">
        <f t="shared" si="1"/>
        <v>66.39501105</v>
      </c>
      <c r="P24" s="104">
        <f t="shared" si="2"/>
        <v>10.64723895</v>
      </c>
      <c r="Q24" s="104">
        <f t="shared" si="3"/>
        <v>77.04225</v>
      </c>
      <c r="R24" s="104">
        <f t="shared" si="4"/>
        <v>2.38275</v>
      </c>
      <c r="S24" s="105">
        <f t="shared" si="5"/>
        <v>79.425</v>
      </c>
      <c r="T24" s="104">
        <f t="shared" si="6"/>
        <v>26.475</v>
      </c>
      <c r="U24" s="106">
        <v>105.9</v>
      </c>
      <c r="V24" s="106">
        <f t="shared" si="7"/>
        <v>42.36</v>
      </c>
      <c r="W24" s="107">
        <f t="shared" si="8"/>
        <v>5.773668</v>
      </c>
      <c r="X24" s="108">
        <f t="shared" si="9"/>
        <v>111.673668</v>
      </c>
      <c r="Y24" s="93">
        <f t="shared" si="10"/>
        <v>0.00798</v>
      </c>
      <c r="Z24" s="104">
        <f t="shared" si="11"/>
        <v>0</v>
      </c>
      <c r="AA24" s="104">
        <f t="shared" si="12"/>
        <v>0</v>
      </c>
      <c r="AB24" s="104">
        <f t="shared" si="13"/>
        <v>0</v>
      </c>
      <c r="AC24" s="104">
        <f t="shared" si="14"/>
        <v>0</v>
      </c>
      <c r="AD24" s="105">
        <f t="shared" si="15"/>
        <v>0</v>
      </c>
      <c r="AE24" s="109"/>
      <c r="AF24" s="109"/>
      <c r="AG24" s="109"/>
      <c r="AH24" s="104">
        <f t="shared" si="16"/>
        <v>0</v>
      </c>
      <c r="AI24" s="104">
        <f t="shared" si="17"/>
        <v>0</v>
      </c>
      <c r="AJ24" s="95"/>
      <c r="AK24" s="110">
        <f t="shared" si="18"/>
        <v>0</v>
      </c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ht="15.75" customHeight="1">
      <c r="A25" s="97" t="s">
        <v>440</v>
      </c>
      <c r="B25" s="98" t="s">
        <v>371</v>
      </c>
      <c r="C25" s="99"/>
      <c r="D25" s="100"/>
      <c r="E25" s="100"/>
      <c r="F25" s="102" t="s">
        <v>437</v>
      </c>
      <c r="G25" s="102" t="s">
        <v>438</v>
      </c>
      <c r="H25" s="103" t="s">
        <v>441</v>
      </c>
      <c r="I25" s="102" t="s">
        <v>442</v>
      </c>
      <c r="J25" s="102" t="s">
        <v>440</v>
      </c>
      <c r="K25" s="102" t="s">
        <v>97</v>
      </c>
      <c r="L25" s="102" t="s">
        <v>94</v>
      </c>
      <c r="M25" s="102" t="s">
        <v>98</v>
      </c>
      <c r="N25" s="87">
        <v>66.40299105000001</v>
      </c>
      <c r="O25" s="111">
        <f t="shared" si="1"/>
        <v>66.39501105</v>
      </c>
      <c r="P25" s="104">
        <f t="shared" si="2"/>
        <v>10.64723895</v>
      </c>
      <c r="Q25" s="104">
        <f t="shared" si="3"/>
        <v>77.04225</v>
      </c>
      <c r="R25" s="104">
        <f t="shared" si="4"/>
        <v>2.38275</v>
      </c>
      <c r="S25" s="105">
        <f t="shared" si="5"/>
        <v>79.425</v>
      </c>
      <c r="T25" s="104">
        <f t="shared" si="6"/>
        <v>26.475</v>
      </c>
      <c r="U25" s="106">
        <v>105.9</v>
      </c>
      <c r="V25" s="106">
        <f t="shared" si="7"/>
        <v>42.36</v>
      </c>
      <c r="W25" s="107">
        <f t="shared" si="8"/>
        <v>5.773668</v>
      </c>
      <c r="X25" s="108">
        <f t="shared" si="9"/>
        <v>111.673668</v>
      </c>
      <c r="Y25" s="93">
        <f t="shared" si="10"/>
        <v>0.00798</v>
      </c>
      <c r="Z25" s="104">
        <f t="shared" si="11"/>
        <v>0</v>
      </c>
      <c r="AA25" s="104">
        <f t="shared" si="12"/>
        <v>0</v>
      </c>
      <c r="AB25" s="104">
        <f t="shared" si="13"/>
        <v>0</v>
      </c>
      <c r="AC25" s="104">
        <f t="shared" si="14"/>
        <v>0</v>
      </c>
      <c r="AD25" s="105">
        <f t="shared" si="15"/>
        <v>0</v>
      </c>
      <c r="AE25" s="109"/>
      <c r="AF25" s="109"/>
      <c r="AG25" s="109"/>
      <c r="AH25" s="104">
        <f t="shared" si="16"/>
        <v>0</v>
      </c>
      <c r="AI25" s="104">
        <f t="shared" si="17"/>
        <v>0</v>
      </c>
      <c r="AJ25" s="95"/>
      <c r="AK25" s="110">
        <f t="shared" si="18"/>
        <v>0</v>
      </c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ht="15.75" customHeight="1">
      <c r="A26" s="97" t="s">
        <v>443</v>
      </c>
      <c r="B26" s="98" t="s">
        <v>371</v>
      </c>
      <c r="C26" s="99"/>
      <c r="D26" s="100"/>
      <c r="E26" s="100"/>
      <c r="F26" s="102" t="s">
        <v>444</v>
      </c>
      <c r="G26" s="102" t="s">
        <v>445</v>
      </c>
      <c r="H26" s="103">
        <v>26.0</v>
      </c>
      <c r="I26" s="102" t="s">
        <v>100</v>
      </c>
      <c r="J26" s="102" t="s">
        <v>443</v>
      </c>
      <c r="K26" s="102" t="s">
        <v>97</v>
      </c>
      <c r="L26" s="102" t="s">
        <v>94</v>
      </c>
      <c r="M26" s="102" t="s">
        <v>60</v>
      </c>
      <c r="N26" s="87">
        <v>79.68358926</v>
      </c>
      <c r="O26" s="104">
        <f t="shared" si="1"/>
        <v>79.68362133</v>
      </c>
      <c r="P26" s="104">
        <f t="shared" si="2"/>
        <v>12.77822751</v>
      </c>
      <c r="Q26" s="104">
        <f t="shared" si="3"/>
        <v>92.46184884</v>
      </c>
      <c r="R26" s="104">
        <f t="shared" si="4"/>
        <v>2.85964481</v>
      </c>
      <c r="S26" s="105">
        <f t="shared" si="5"/>
        <v>95.32149365</v>
      </c>
      <c r="T26" s="104">
        <f t="shared" si="6"/>
        <v>31.77383122</v>
      </c>
      <c r="U26" s="106">
        <v>127.09532486970002</v>
      </c>
      <c r="V26" s="106">
        <f t="shared" si="7"/>
        <v>50.83812995</v>
      </c>
      <c r="W26" s="107">
        <f t="shared" si="8"/>
        <v>6.929237112</v>
      </c>
      <c r="X26" s="108">
        <f t="shared" si="9"/>
        <v>134.024562</v>
      </c>
      <c r="Y26" s="93">
        <f t="shared" si="10"/>
        <v>-0.00003207264469</v>
      </c>
      <c r="Z26" s="104">
        <f t="shared" si="11"/>
        <v>0</v>
      </c>
      <c r="AA26" s="104">
        <f t="shared" si="12"/>
        <v>0</v>
      </c>
      <c r="AB26" s="104">
        <f t="shared" si="13"/>
        <v>0</v>
      </c>
      <c r="AC26" s="104">
        <f t="shared" si="14"/>
        <v>0</v>
      </c>
      <c r="AD26" s="105">
        <f t="shared" si="15"/>
        <v>0</v>
      </c>
      <c r="AE26" s="109"/>
      <c r="AF26" s="109"/>
      <c r="AG26" s="109"/>
      <c r="AH26" s="104">
        <f t="shared" si="16"/>
        <v>0</v>
      </c>
      <c r="AI26" s="104">
        <f t="shared" si="17"/>
        <v>0</v>
      </c>
      <c r="AJ26" s="95"/>
      <c r="AK26" s="110">
        <f t="shared" si="18"/>
        <v>0</v>
      </c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ht="15.75" customHeight="1">
      <c r="A27" s="97" t="s">
        <v>446</v>
      </c>
      <c r="B27" s="98" t="s">
        <v>371</v>
      </c>
      <c r="C27" s="99"/>
      <c r="D27" s="100"/>
      <c r="E27" s="114"/>
      <c r="F27" s="114"/>
      <c r="G27" s="102" t="s">
        <v>447</v>
      </c>
      <c r="H27" s="103">
        <v>27.0</v>
      </c>
      <c r="I27" s="102" t="s">
        <v>92</v>
      </c>
      <c r="J27" s="102" t="s">
        <v>446</v>
      </c>
      <c r="K27" s="102" t="s">
        <v>93</v>
      </c>
      <c r="L27" s="102" t="s">
        <v>94</v>
      </c>
      <c r="M27" s="121" t="s">
        <v>415</v>
      </c>
      <c r="N27" s="87">
        <v>132.8059821</v>
      </c>
      <c r="O27" s="104">
        <f t="shared" si="1"/>
        <v>132.8094762</v>
      </c>
      <c r="P27" s="104">
        <f t="shared" si="2"/>
        <v>21.2975976</v>
      </c>
      <c r="Q27" s="104">
        <f t="shared" si="3"/>
        <v>154.1070738</v>
      </c>
      <c r="R27" s="104">
        <f t="shared" si="4"/>
        <v>4.766198159</v>
      </c>
      <c r="S27" s="105">
        <f t="shared" si="5"/>
        <v>158.873272</v>
      </c>
      <c r="T27" s="104">
        <f t="shared" si="6"/>
        <v>52.95775733</v>
      </c>
      <c r="U27" s="106">
        <v>211.8310293</v>
      </c>
      <c r="V27" s="106">
        <f t="shared" si="7"/>
        <v>84.73241172</v>
      </c>
      <c r="W27" s="107">
        <f t="shared" si="8"/>
        <v>11.54902772</v>
      </c>
      <c r="X27" s="108">
        <f t="shared" si="9"/>
        <v>223.380057</v>
      </c>
      <c r="Y27" s="93">
        <f t="shared" si="10"/>
        <v>-0.003494114413</v>
      </c>
      <c r="Z27" s="104">
        <f t="shared" si="11"/>
        <v>0</v>
      </c>
      <c r="AA27" s="104">
        <f t="shared" si="12"/>
        <v>0</v>
      </c>
      <c r="AB27" s="104">
        <f t="shared" si="13"/>
        <v>0</v>
      </c>
      <c r="AC27" s="104">
        <f t="shared" si="14"/>
        <v>0</v>
      </c>
      <c r="AD27" s="105">
        <f t="shared" si="15"/>
        <v>0</v>
      </c>
      <c r="AE27" s="109"/>
      <c r="AF27" s="109"/>
      <c r="AG27" s="109"/>
      <c r="AH27" s="104">
        <f t="shared" si="16"/>
        <v>0</v>
      </c>
      <c r="AI27" s="104">
        <f t="shared" si="17"/>
        <v>0</v>
      </c>
      <c r="AJ27" s="95"/>
      <c r="AK27" s="110">
        <f t="shared" si="18"/>
        <v>0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ht="15.75" customHeight="1">
      <c r="A28" s="97" t="s">
        <v>448</v>
      </c>
      <c r="B28" s="98" t="s">
        <v>371</v>
      </c>
      <c r="C28" s="99"/>
      <c r="D28" s="100"/>
      <c r="E28" s="100"/>
      <c r="F28" s="102" t="s">
        <v>449</v>
      </c>
      <c r="G28" s="102" t="s">
        <v>450</v>
      </c>
      <c r="H28" s="103">
        <v>28.0</v>
      </c>
      <c r="I28" s="81" t="s">
        <v>451</v>
      </c>
      <c r="J28" s="102" t="s">
        <v>448</v>
      </c>
      <c r="K28" s="81" t="s">
        <v>97</v>
      </c>
      <c r="L28" s="102" t="s">
        <v>94</v>
      </c>
      <c r="M28" s="102" t="s">
        <v>57</v>
      </c>
      <c r="N28" s="87">
        <v>94.347</v>
      </c>
      <c r="O28" s="111">
        <f t="shared" si="1"/>
        <v>94.35113516</v>
      </c>
      <c r="P28" s="104">
        <f t="shared" si="2"/>
        <v>15.13033985</v>
      </c>
      <c r="Q28" s="104">
        <f t="shared" si="3"/>
        <v>109.481475</v>
      </c>
      <c r="R28" s="104">
        <f t="shared" si="4"/>
        <v>3.386025</v>
      </c>
      <c r="S28" s="105">
        <f t="shared" si="5"/>
        <v>112.8675</v>
      </c>
      <c r="T28" s="104">
        <f t="shared" si="6"/>
        <v>37.6225</v>
      </c>
      <c r="U28" s="106">
        <v>150.49</v>
      </c>
      <c r="V28" s="106">
        <f t="shared" si="7"/>
        <v>60.196</v>
      </c>
      <c r="W28" s="107">
        <f t="shared" si="8"/>
        <v>8.2047148</v>
      </c>
      <c r="X28" s="108">
        <f t="shared" si="9"/>
        <v>158.6947148</v>
      </c>
      <c r="Y28" s="93">
        <f t="shared" si="10"/>
        <v>-0.004135155</v>
      </c>
      <c r="Z28" s="104">
        <f t="shared" si="11"/>
        <v>0</v>
      </c>
      <c r="AA28" s="104">
        <f t="shared" si="12"/>
        <v>0</v>
      </c>
      <c r="AB28" s="104">
        <f t="shared" si="13"/>
        <v>0</v>
      </c>
      <c r="AC28" s="104">
        <f t="shared" si="14"/>
        <v>0</v>
      </c>
      <c r="AD28" s="105">
        <f t="shared" si="15"/>
        <v>0</v>
      </c>
      <c r="AE28" s="109"/>
      <c r="AF28" s="109"/>
      <c r="AG28" s="109"/>
      <c r="AH28" s="104">
        <f t="shared" si="16"/>
        <v>0</v>
      </c>
      <c r="AI28" s="104">
        <f t="shared" si="17"/>
        <v>0</v>
      </c>
      <c r="AJ28" s="95"/>
      <c r="AK28" s="110">
        <f t="shared" si="18"/>
        <v>0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ht="15.75" customHeight="1">
      <c r="A29" s="97" t="s">
        <v>452</v>
      </c>
      <c r="B29" s="98" t="s">
        <v>371</v>
      </c>
      <c r="C29" s="99"/>
      <c r="D29" s="100"/>
      <c r="E29" s="100"/>
      <c r="F29" s="102" t="s">
        <v>453</v>
      </c>
      <c r="G29" s="102" t="s">
        <v>454</v>
      </c>
      <c r="H29" s="103">
        <v>29.0</v>
      </c>
      <c r="I29" s="102" t="s">
        <v>106</v>
      </c>
      <c r="J29" s="102" t="s">
        <v>452</v>
      </c>
      <c r="K29" s="102" t="s">
        <v>97</v>
      </c>
      <c r="L29" s="102" t="s">
        <v>94</v>
      </c>
      <c r="M29" s="102" t="s">
        <v>73</v>
      </c>
      <c r="N29" s="87">
        <v>96.5861688</v>
      </c>
      <c r="O29" s="113">
        <f t="shared" si="1"/>
        <v>96.58620768</v>
      </c>
      <c r="P29" s="104">
        <f t="shared" si="2"/>
        <v>15.48876062</v>
      </c>
      <c r="Q29" s="104">
        <f t="shared" si="3"/>
        <v>112.0749683</v>
      </c>
      <c r="R29" s="104">
        <f t="shared" si="4"/>
        <v>3.466236133</v>
      </c>
      <c r="S29" s="105">
        <f t="shared" si="5"/>
        <v>115.5412044</v>
      </c>
      <c r="T29" s="104">
        <f t="shared" si="6"/>
        <v>38.51373481</v>
      </c>
      <c r="U29" s="106">
        <v>154.05493923600002</v>
      </c>
      <c r="V29" s="106">
        <f t="shared" si="7"/>
        <v>61.62197569</v>
      </c>
      <c r="W29" s="107">
        <f t="shared" si="8"/>
        <v>8.399075287</v>
      </c>
      <c r="X29" s="108">
        <f t="shared" si="9"/>
        <v>162.4540145</v>
      </c>
      <c r="Y29" s="93">
        <f t="shared" si="10"/>
        <v>-0.00003887593297</v>
      </c>
      <c r="Z29" s="104">
        <f t="shared" si="11"/>
        <v>0</v>
      </c>
      <c r="AA29" s="104">
        <f t="shared" si="12"/>
        <v>0</v>
      </c>
      <c r="AB29" s="104">
        <f t="shared" si="13"/>
        <v>0</v>
      </c>
      <c r="AC29" s="104">
        <f t="shared" si="14"/>
        <v>0</v>
      </c>
      <c r="AD29" s="105">
        <f t="shared" si="15"/>
        <v>0</v>
      </c>
      <c r="AE29" s="109"/>
      <c r="AF29" s="109"/>
      <c r="AG29" s="109"/>
      <c r="AH29" s="104">
        <f t="shared" si="16"/>
        <v>0</v>
      </c>
      <c r="AI29" s="104">
        <f t="shared" si="17"/>
        <v>0</v>
      </c>
      <c r="AJ29" s="95"/>
      <c r="AK29" s="110">
        <f t="shared" si="18"/>
        <v>0</v>
      </c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ht="15.75" customHeight="1">
      <c r="A30" s="97" t="s">
        <v>455</v>
      </c>
      <c r="B30" s="98" t="s">
        <v>371</v>
      </c>
      <c r="C30" s="99"/>
      <c r="D30" s="100"/>
      <c r="E30" s="100"/>
      <c r="F30" s="102" t="s">
        <v>456</v>
      </c>
      <c r="G30" s="102" t="s">
        <v>457</v>
      </c>
      <c r="H30" s="103">
        <v>30.0</v>
      </c>
      <c r="I30" s="102" t="s">
        <v>110</v>
      </c>
      <c r="J30" s="102" t="s">
        <v>455</v>
      </c>
      <c r="K30" s="102" t="s">
        <v>97</v>
      </c>
      <c r="L30" s="102" t="s">
        <v>94</v>
      </c>
      <c r="M30" s="102" t="s">
        <v>108</v>
      </c>
      <c r="N30" s="87">
        <v>132.80598210000002</v>
      </c>
      <c r="O30" s="104">
        <f t="shared" si="1"/>
        <v>132.8060356</v>
      </c>
      <c r="P30" s="104">
        <f t="shared" si="2"/>
        <v>21.29704585</v>
      </c>
      <c r="Q30" s="104">
        <f t="shared" si="3"/>
        <v>154.1030814</v>
      </c>
      <c r="R30" s="104">
        <f t="shared" si="4"/>
        <v>4.766074683</v>
      </c>
      <c r="S30" s="105">
        <f t="shared" si="5"/>
        <v>158.8691561</v>
      </c>
      <c r="T30" s="104">
        <f t="shared" si="6"/>
        <v>52.95638536</v>
      </c>
      <c r="U30" s="106">
        <v>211.82554144950004</v>
      </c>
      <c r="V30" s="106">
        <f t="shared" si="7"/>
        <v>84.73021658</v>
      </c>
      <c r="W30" s="107">
        <f t="shared" si="8"/>
        <v>11.54872852</v>
      </c>
      <c r="X30" s="108">
        <f t="shared" si="9"/>
        <v>223.37427</v>
      </c>
      <c r="Y30" s="93">
        <f t="shared" si="10"/>
        <v>-0.00005345440781</v>
      </c>
      <c r="Z30" s="104">
        <f t="shared" si="11"/>
        <v>0</v>
      </c>
      <c r="AA30" s="104">
        <f t="shared" si="12"/>
        <v>0</v>
      </c>
      <c r="AB30" s="104">
        <f t="shared" si="13"/>
        <v>0</v>
      </c>
      <c r="AC30" s="104">
        <f t="shared" si="14"/>
        <v>0</v>
      </c>
      <c r="AD30" s="105">
        <f t="shared" si="15"/>
        <v>0</v>
      </c>
      <c r="AE30" s="109"/>
      <c r="AF30" s="109"/>
      <c r="AG30" s="109"/>
      <c r="AH30" s="104">
        <f t="shared" si="16"/>
        <v>0</v>
      </c>
      <c r="AI30" s="104">
        <f t="shared" si="17"/>
        <v>0</v>
      </c>
      <c r="AJ30" s="95"/>
      <c r="AK30" s="110">
        <f t="shared" si="18"/>
        <v>0</v>
      </c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ht="15.75" customHeight="1">
      <c r="A31" s="97" t="s">
        <v>458</v>
      </c>
      <c r="B31" s="98" t="s">
        <v>371</v>
      </c>
      <c r="C31" s="99"/>
      <c r="D31" s="100"/>
      <c r="E31" s="100"/>
      <c r="F31" s="102" t="s">
        <v>459</v>
      </c>
      <c r="G31" s="102" t="s">
        <v>460</v>
      </c>
      <c r="H31" s="103">
        <v>31.0</v>
      </c>
      <c r="I31" s="102" t="s">
        <v>112</v>
      </c>
      <c r="J31" s="102" t="s">
        <v>458</v>
      </c>
      <c r="K31" s="102" t="s">
        <v>93</v>
      </c>
      <c r="L31" s="102" t="s">
        <v>94</v>
      </c>
      <c r="M31" s="117" t="s">
        <v>415</v>
      </c>
      <c r="N31" s="87">
        <v>164.635515</v>
      </c>
      <c r="O31" s="104">
        <f t="shared" si="1"/>
        <v>164.6286999</v>
      </c>
      <c r="P31" s="104">
        <f t="shared" si="2"/>
        <v>26.40019301</v>
      </c>
      <c r="Q31" s="104">
        <f t="shared" si="3"/>
        <v>191.028893</v>
      </c>
      <c r="R31" s="104">
        <f t="shared" si="4"/>
        <v>5.908110091</v>
      </c>
      <c r="S31" s="105">
        <f t="shared" si="5"/>
        <v>196.937003</v>
      </c>
      <c r="T31" s="104">
        <f t="shared" si="6"/>
        <v>65.64566768</v>
      </c>
      <c r="U31" s="106">
        <v>262.582670724</v>
      </c>
      <c r="V31" s="106">
        <f t="shared" si="7"/>
        <v>105.0330683</v>
      </c>
      <c r="W31" s="107">
        <f t="shared" si="8"/>
        <v>14.31600721</v>
      </c>
      <c r="X31" s="108">
        <f t="shared" si="9"/>
        <v>276.8986779</v>
      </c>
      <c r="Y31" s="93">
        <f t="shared" si="10"/>
        <v>0.006815054216</v>
      </c>
      <c r="Z31" s="104">
        <f t="shared" si="11"/>
        <v>0</v>
      </c>
      <c r="AA31" s="104">
        <f t="shared" si="12"/>
        <v>0</v>
      </c>
      <c r="AB31" s="104">
        <f t="shared" si="13"/>
        <v>0</v>
      </c>
      <c r="AC31" s="104">
        <f t="shared" si="14"/>
        <v>0</v>
      </c>
      <c r="AD31" s="105">
        <f t="shared" si="15"/>
        <v>0</v>
      </c>
      <c r="AE31" s="109"/>
      <c r="AF31" s="109"/>
      <c r="AG31" s="109"/>
      <c r="AH31" s="104">
        <f t="shared" si="16"/>
        <v>0</v>
      </c>
      <c r="AI31" s="104">
        <f t="shared" si="17"/>
        <v>0</v>
      </c>
      <c r="AJ31" s="95"/>
      <c r="AK31" s="110">
        <f t="shared" si="18"/>
        <v>0</v>
      </c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ht="15.75" customHeight="1">
      <c r="A32" s="97" t="s">
        <v>461</v>
      </c>
      <c r="B32" s="98" t="s">
        <v>371</v>
      </c>
      <c r="C32" s="99"/>
      <c r="D32" s="100"/>
      <c r="E32" s="100"/>
      <c r="F32" s="102" t="s">
        <v>462</v>
      </c>
      <c r="G32" s="102" t="s">
        <v>463</v>
      </c>
      <c r="H32" s="103">
        <v>32.0</v>
      </c>
      <c r="I32" s="102" t="s">
        <v>114</v>
      </c>
      <c r="J32" s="102" t="s">
        <v>461</v>
      </c>
      <c r="K32" s="102" t="s">
        <v>97</v>
      </c>
      <c r="L32" s="102" t="s">
        <v>94</v>
      </c>
      <c r="M32" s="102" t="s">
        <v>60</v>
      </c>
      <c r="N32" s="87">
        <v>79.68358926</v>
      </c>
      <c r="O32" s="104">
        <f t="shared" si="1"/>
        <v>79.68362133</v>
      </c>
      <c r="P32" s="104">
        <f t="shared" si="2"/>
        <v>12.77822751</v>
      </c>
      <c r="Q32" s="104">
        <f t="shared" si="3"/>
        <v>92.46184884</v>
      </c>
      <c r="R32" s="104">
        <f t="shared" si="4"/>
        <v>2.85964481</v>
      </c>
      <c r="S32" s="105">
        <f t="shared" si="5"/>
        <v>95.32149365</v>
      </c>
      <c r="T32" s="104">
        <f t="shared" si="6"/>
        <v>31.77383122</v>
      </c>
      <c r="U32" s="106">
        <v>127.09532486970002</v>
      </c>
      <c r="V32" s="106">
        <f t="shared" si="7"/>
        <v>50.83812995</v>
      </c>
      <c r="W32" s="107">
        <f t="shared" si="8"/>
        <v>6.929237112</v>
      </c>
      <c r="X32" s="108">
        <f t="shared" si="9"/>
        <v>134.024562</v>
      </c>
      <c r="Y32" s="93">
        <f t="shared" si="10"/>
        <v>-0.00003207264469</v>
      </c>
      <c r="Z32" s="104">
        <f t="shared" si="11"/>
        <v>0</v>
      </c>
      <c r="AA32" s="104">
        <f t="shared" si="12"/>
        <v>0</v>
      </c>
      <c r="AB32" s="104">
        <f t="shared" si="13"/>
        <v>0</v>
      </c>
      <c r="AC32" s="104">
        <f t="shared" si="14"/>
        <v>0</v>
      </c>
      <c r="AD32" s="105">
        <f t="shared" si="15"/>
        <v>0</v>
      </c>
      <c r="AE32" s="109"/>
      <c r="AF32" s="109"/>
      <c r="AG32" s="109"/>
      <c r="AH32" s="104">
        <f t="shared" si="16"/>
        <v>0</v>
      </c>
      <c r="AI32" s="104">
        <f t="shared" si="17"/>
        <v>0</v>
      </c>
      <c r="AJ32" s="95"/>
      <c r="AK32" s="110">
        <f t="shared" si="18"/>
        <v>0</v>
      </c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ht="15.75" customHeight="1">
      <c r="A33" s="97" t="s">
        <v>464</v>
      </c>
      <c r="B33" s="98" t="s">
        <v>371</v>
      </c>
      <c r="C33" s="99"/>
      <c r="D33" s="100"/>
      <c r="E33" s="100"/>
      <c r="F33" s="102" t="s">
        <v>465</v>
      </c>
      <c r="G33" s="102" t="s">
        <v>466</v>
      </c>
      <c r="H33" s="103">
        <v>33.0</v>
      </c>
      <c r="I33" s="102" t="s">
        <v>117</v>
      </c>
      <c r="J33" s="102" t="s">
        <v>464</v>
      </c>
      <c r="K33" s="102" t="s">
        <v>97</v>
      </c>
      <c r="L33" s="102" t="s">
        <v>94</v>
      </c>
      <c r="M33" s="102" t="s">
        <v>115</v>
      </c>
      <c r="N33" s="87">
        <v>464.82093735000007</v>
      </c>
      <c r="O33" s="113">
        <f t="shared" si="1"/>
        <v>464.8211244</v>
      </c>
      <c r="P33" s="104">
        <f t="shared" si="2"/>
        <v>74.53966048</v>
      </c>
      <c r="Q33" s="104">
        <f t="shared" si="3"/>
        <v>539.3607849</v>
      </c>
      <c r="R33" s="104">
        <f t="shared" si="4"/>
        <v>16.68126139</v>
      </c>
      <c r="S33" s="105">
        <f t="shared" si="5"/>
        <v>556.0420463</v>
      </c>
      <c r="T33" s="104">
        <f t="shared" si="6"/>
        <v>185.3473488</v>
      </c>
      <c r="U33" s="106">
        <v>741.3893950732501</v>
      </c>
      <c r="V33" s="106">
        <f t="shared" si="7"/>
        <v>296.555758</v>
      </c>
      <c r="W33" s="107">
        <f t="shared" si="8"/>
        <v>40.42054982</v>
      </c>
      <c r="X33" s="108">
        <f t="shared" si="9"/>
        <v>781.8099449</v>
      </c>
      <c r="Y33" s="93">
        <f t="shared" si="10"/>
        <v>-0.0001870904272</v>
      </c>
      <c r="Z33" s="104">
        <f t="shared" si="11"/>
        <v>0</v>
      </c>
      <c r="AA33" s="104">
        <f t="shared" si="12"/>
        <v>0</v>
      </c>
      <c r="AB33" s="104">
        <f t="shared" si="13"/>
        <v>0</v>
      </c>
      <c r="AC33" s="104">
        <f t="shared" si="14"/>
        <v>0</v>
      </c>
      <c r="AD33" s="105">
        <f t="shared" si="15"/>
        <v>0</v>
      </c>
      <c r="AE33" s="109"/>
      <c r="AF33" s="109"/>
      <c r="AG33" s="109"/>
      <c r="AH33" s="104">
        <f t="shared" si="16"/>
        <v>0</v>
      </c>
      <c r="AI33" s="104">
        <f t="shared" si="17"/>
        <v>0</v>
      </c>
      <c r="AJ33" s="95"/>
      <c r="AK33" s="110">
        <f t="shared" si="18"/>
        <v>0</v>
      </c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ht="15.75" customHeight="1">
      <c r="A34" s="97" t="s">
        <v>467</v>
      </c>
      <c r="B34" s="98" t="s">
        <v>371</v>
      </c>
      <c r="C34" s="99"/>
      <c r="D34" s="100"/>
      <c r="E34" s="114"/>
      <c r="F34" s="102" t="s">
        <v>468</v>
      </c>
      <c r="G34" s="102" t="s">
        <v>469</v>
      </c>
      <c r="H34" s="103">
        <v>34.0</v>
      </c>
      <c r="I34" s="102" t="s">
        <v>470</v>
      </c>
      <c r="J34" s="102" t="s">
        <v>467</v>
      </c>
      <c r="K34" s="102" t="s">
        <v>97</v>
      </c>
      <c r="L34" s="102" t="s">
        <v>94</v>
      </c>
      <c r="M34" s="102" t="s">
        <v>118</v>
      </c>
      <c r="N34" s="87">
        <v>106.24478568</v>
      </c>
      <c r="O34" s="113">
        <f t="shared" si="1"/>
        <v>106.2448284</v>
      </c>
      <c r="P34" s="104">
        <f t="shared" si="2"/>
        <v>17.03763668</v>
      </c>
      <c r="Q34" s="104">
        <f t="shared" si="3"/>
        <v>123.2824651</v>
      </c>
      <c r="R34" s="104">
        <f t="shared" si="4"/>
        <v>3.812859746</v>
      </c>
      <c r="S34" s="105">
        <f t="shared" si="5"/>
        <v>127.0953249</v>
      </c>
      <c r="T34" s="104">
        <f t="shared" si="6"/>
        <v>42.36510829</v>
      </c>
      <c r="U34" s="106">
        <v>169.4604331596</v>
      </c>
      <c r="V34" s="106">
        <f t="shared" si="7"/>
        <v>67.78417326</v>
      </c>
      <c r="W34" s="107">
        <f t="shared" si="8"/>
        <v>9.238982816</v>
      </c>
      <c r="X34" s="108">
        <f t="shared" si="9"/>
        <v>178.699416</v>
      </c>
      <c r="Y34" s="93">
        <f t="shared" si="10"/>
        <v>-0.00004276352624</v>
      </c>
      <c r="Z34" s="104">
        <f t="shared" si="11"/>
        <v>0</v>
      </c>
      <c r="AA34" s="104">
        <f t="shared" si="12"/>
        <v>0</v>
      </c>
      <c r="AB34" s="104">
        <f t="shared" si="13"/>
        <v>0</v>
      </c>
      <c r="AC34" s="104">
        <f t="shared" si="14"/>
        <v>0</v>
      </c>
      <c r="AD34" s="105">
        <f t="shared" si="15"/>
        <v>0</v>
      </c>
      <c r="AE34" s="109"/>
      <c r="AF34" s="109"/>
      <c r="AG34" s="109"/>
      <c r="AH34" s="104">
        <f t="shared" si="16"/>
        <v>0</v>
      </c>
      <c r="AI34" s="104">
        <f t="shared" si="17"/>
        <v>0</v>
      </c>
      <c r="AJ34" s="95"/>
      <c r="AK34" s="110">
        <f t="shared" si="18"/>
        <v>0</v>
      </c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ht="15.75" customHeight="1">
      <c r="A35" s="97" t="s">
        <v>471</v>
      </c>
      <c r="B35" s="98" t="s">
        <v>371</v>
      </c>
      <c r="C35" s="99"/>
      <c r="D35" s="100"/>
      <c r="E35" s="116" t="s">
        <v>372</v>
      </c>
      <c r="F35" s="102" t="s">
        <v>472</v>
      </c>
      <c r="G35" s="102" t="s">
        <v>473</v>
      </c>
      <c r="H35" s="103">
        <v>39.0</v>
      </c>
      <c r="I35" s="102" t="s">
        <v>122</v>
      </c>
      <c r="J35" s="102" t="s">
        <v>471</v>
      </c>
      <c r="K35" s="102" t="s">
        <v>97</v>
      </c>
      <c r="L35" s="102" t="s">
        <v>94</v>
      </c>
      <c r="M35" s="117" t="s">
        <v>415</v>
      </c>
      <c r="N35" s="87">
        <v>96.5861688</v>
      </c>
      <c r="O35" s="104">
        <f t="shared" si="1"/>
        <v>96.58620768</v>
      </c>
      <c r="P35" s="104">
        <f t="shared" si="2"/>
        <v>15.48876062</v>
      </c>
      <c r="Q35" s="104">
        <f t="shared" si="3"/>
        <v>112.0749683</v>
      </c>
      <c r="R35" s="104">
        <f t="shared" si="4"/>
        <v>3.466236133</v>
      </c>
      <c r="S35" s="105">
        <f t="shared" si="5"/>
        <v>115.5412044</v>
      </c>
      <c r="T35" s="104">
        <f t="shared" si="6"/>
        <v>38.51373481</v>
      </c>
      <c r="U35" s="106">
        <v>154.05493923600002</v>
      </c>
      <c r="V35" s="106">
        <f t="shared" si="7"/>
        <v>61.62197569</v>
      </c>
      <c r="W35" s="107">
        <f t="shared" si="8"/>
        <v>8.399075287</v>
      </c>
      <c r="X35" s="108">
        <f t="shared" si="9"/>
        <v>162.4540145</v>
      </c>
      <c r="Y35" s="93">
        <f t="shared" si="10"/>
        <v>-0.00003887593297</v>
      </c>
      <c r="Z35" s="104">
        <f t="shared" si="11"/>
        <v>0</v>
      </c>
      <c r="AA35" s="104">
        <f t="shared" si="12"/>
        <v>0</v>
      </c>
      <c r="AB35" s="104">
        <f t="shared" si="13"/>
        <v>0</v>
      </c>
      <c r="AC35" s="104">
        <f t="shared" si="14"/>
        <v>0</v>
      </c>
      <c r="AD35" s="105">
        <f t="shared" si="15"/>
        <v>0</v>
      </c>
      <c r="AE35" s="109"/>
      <c r="AF35" s="109"/>
      <c r="AG35" s="109"/>
      <c r="AH35" s="104">
        <f t="shared" si="16"/>
        <v>0</v>
      </c>
      <c r="AI35" s="104">
        <f t="shared" si="17"/>
        <v>0</v>
      </c>
      <c r="AJ35" s="95"/>
      <c r="AK35" s="110">
        <f t="shared" si="18"/>
        <v>0</v>
      </c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ht="15.75" customHeight="1">
      <c r="A36" s="97" t="s">
        <v>474</v>
      </c>
      <c r="B36" s="98" t="s">
        <v>371</v>
      </c>
      <c r="C36" s="99"/>
      <c r="D36" s="100"/>
      <c r="E36" s="100"/>
      <c r="F36" s="102" t="s">
        <v>475</v>
      </c>
      <c r="G36" s="102" t="s">
        <v>476</v>
      </c>
      <c r="H36" s="103">
        <v>35.0</v>
      </c>
      <c r="I36" s="102" t="s">
        <v>124</v>
      </c>
      <c r="J36" s="102" t="s">
        <v>474</v>
      </c>
      <c r="K36" s="102" t="s">
        <v>97</v>
      </c>
      <c r="L36" s="102" t="s">
        <v>94</v>
      </c>
      <c r="M36" s="102" t="s">
        <v>118</v>
      </c>
      <c r="N36" s="87">
        <v>132.80598210000002</v>
      </c>
      <c r="O36" s="104">
        <f t="shared" si="1"/>
        <v>132.8060356</v>
      </c>
      <c r="P36" s="104">
        <f t="shared" si="2"/>
        <v>21.29704585</v>
      </c>
      <c r="Q36" s="104">
        <f t="shared" si="3"/>
        <v>154.1030814</v>
      </c>
      <c r="R36" s="104">
        <f t="shared" si="4"/>
        <v>4.766074683</v>
      </c>
      <c r="S36" s="105">
        <f t="shared" si="5"/>
        <v>158.8691561</v>
      </c>
      <c r="T36" s="104">
        <f t="shared" si="6"/>
        <v>52.95638536</v>
      </c>
      <c r="U36" s="106">
        <v>211.82554144950004</v>
      </c>
      <c r="V36" s="106">
        <f t="shared" si="7"/>
        <v>84.73021658</v>
      </c>
      <c r="W36" s="107">
        <f t="shared" si="8"/>
        <v>11.54872852</v>
      </c>
      <c r="X36" s="108">
        <f t="shared" si="9"/>
        <v>223.37427</v>
      </c>
      <c r="Y36" s="93">
        <f t="shared" si="10"/>
        <v>-0.00005345440781</v>
      </c>
      <c r="Z36" s="104">
        <f t="shared" si="11"/>
        <v>0</v>
      </c>
      <c r="AA36" s="104">
        <f t="shared" si="12"/>
        <v>0</v>
      </c>
      <c r="AB36" s="104">
        <f t="shared" si="13"/>
        <v>0</v>
      </c>
      <c r="AC36" s="104">
        <f t="shared" si="14"/>
        <v>0</v>
      </c>
      <c r="AD36" s="105">
        <f t="shared" si="15"/>
        <v>0</v>
      </c>
      <c r="AE36" s="109"/>
      <c r="AF36" s="109"/>
      <c r="AG36" s="109"/>
      <c r="AH36" s="104">
        <f t="shared" si="16"/>
        <v>0</v>
      </c>
      <c r="AI36" s="104">
        <f t="shared" si="17"/>
        <v>0</v>
      </c>
      <c r="AJ36" s="95"/>
      <c r="AK36" s="110">
        <f t="shared" si="18"/>
        <v>0</v>
      </c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ht="15.75" customHeight="1">
      <c r="A37" s="97" t="s">
        <v>477</v>
      </c>
      <c r="B37" s="98" t="s">
        <v>371</v>
      </c>
      <c r="C37" s="99"/>
      <c r="D37" s="100"/>
      <c r="E37" s="100"/>
      <c r="F37" s="102" t="s">
        <v>478</v>
      </c>
      <c r="G37" s="102" t="s">
        <v>479</v>
      </c>
      <c r="H37" s="103">
        <v>36.0</v>
      </c>
      <c r="I37" s="102" t="s">
        <v>126</v>
      </c>
      <c r="J37" s="102" t="s">
        <v>477</v>
      </c>
      <c r="K37" s="102" t="s">
        <v>97</v>
      </c>
      <c r="L37" s="102" t="s">
        <v>94</v>
      </c>
      <c r="M37" s="102" t="s">
        <v>60</v>
      </c>
      <c r="N37" s="87">
        <v>115.313</v>
      </c>
      <c r="O37" s="111">
        <f t="shared" si="1"/>
        <v>115.2978521</v>
      </c>
      <c r="P37" s="104">
        <f t="shared" si="2"/>
        <v>18.48939795</v>
      </c>
      <c r="Q37" s="104">
        <f t="shared" si="3"/>
        <v>133.78725</v>
      </c>
      <c r="R37" s="104">
        <f t="shared" si="4"/>
        <v>4.13775</v>
      </c>
      <c r="S37" s="105">
        <f t="shared" si="5"/>
        <v>137.925</v>
      </c>
      <c r="T37" s="104">
        <f t="shared" si="6"/>
        <v>45.975</v>
      </c>
      <c r="U37" s="106">
        <v>183.9</v>
      </c>
      <c r="V37" s="106">
        <f t="shared" si="7"/>
        <v>73.56</v>
      </c>
      <c r="W37" s="107">
        <f t="shared" si="8"/>
        <v>10.026228</v>
      </c>
      <c r="X37" s="108">
        <f t="shared" si="9"/>
        <v>193.926228</v>
      </c>
      <c r="Y37" s="93">
        <f t="shared" si="10"/>
        <v>0.01514795</v>
      </c>
      <c r="Z37" s="104">
        <f t="shared" si="11"/>
        <v>0</v>
      </c>
      <c r="AA37" s="104">
        <f t="shared" si="12"/>
        <v>0</v>
      </c>
      <c r="AB37" s="104">
        <f t="shared" si="13"/>
        <v>0</v>
      </c>
      <c r="AC37" s="104">
        <f t="shared" si="14"/>
        <v>0</v>
      </c>
      <c r="AD37" s="105">
        <f t="shared" si="15"/>
        <v>0</v>
      </c>
      <c r="AE37" s="109"/>
      <c r="AF37" s="109"/>
      <c r="AG37" s="109"/>
      <c r="AH37" s="104">
        <f t="shared" si="16"/>
        <v>0</v>
      </c>
      <c r="AI37" s="104">
        <f t="shared" si="17"/>
        <v>0</v>
      </c>
      <c r="AJ37" s="95"/>
      <c r="AK37" s="110">
        <f t="shared" si="18"/>
        <v>0</v>
      </c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ht="15.75" customHeight="1">
      <c r="A38" s="97" t="s">
        <v>480</v>
      </c>
      <c r="B38" s="98" t="s">
        <v>371</v>
      </c>
      <c r="C38" s="99"/>
      <c r="D38" s="100"/>
      <c r="E38" s="100"/>
      <c r="F38" s="102" t="s">
        <v>481</v>
      </c>
      <c r="G38" s="102" t="s">
        <v>482</v>
      </c>
      <c r="H38" s="103">
        <v>37.0</v>
      </c>
      <c r="I38" s="102" t="s">
        <v>483</v>
      </c>
      <c r="J38" s="102" t="s">
        <v>480</v>
      </c>
      <c r="K38" s="102" t="s">
        <v>97</v>
      </c>
      <c r="L38" s="102" t="s">
        <v>94</v>
      </c>
      <c r="M38" s="102" t="s">
        <v>118</v>
      </c>
      <c r="N38" s="87">
        <v>106.24478568</v>
      </c>
      <c r="O38" s="104">
        <f t="shared" si="1"/>
        <v>106.2448284</v>
      </c>
      <c r="P38" s="104">
        <f t="shared" si="2"/>
        <v>17.03763668</v>
      </c>
      <c r="Q38" s="104">
        <f t="shared" si="3"/>
        <v>123.2824651</v>
      </c>
      <c r="R38" s="104">
        <f t="shared" si="4"/>
        <v>3.812859746</v>
      </c>
      <c r="S38" s="105">
        <f t="shared" si="5"/>
        <v>127.0953249</v>
      </c>
      <c r="T38" s="104">
        <f t="shared" si="6"/>
        <v>42.36510829</v>
      </c>
      <c r="U38" s="106">
        <v>169.4604331596</v>
      </c>
      <c r="V38" s="106">
        <f t="shared" si="7"/>
        <v>67.78417326</v>
      </c>
      <c r="W38" s="107">
        <f t="shared" si="8"/>
        <v>9.238982816</v>
      </c>
      <c r="X38" s="108">
        <f t="shared" si="9"/>
        <v>178.699416</v>
      </c>
      <c r="Y38" s="93">
        <f t="shared" si="10"/>
        <v>-0.00004276352624</v>
      </c>
      <c r="Z38" s="104">
        <f t="shared" si="11"/>
        <v>0</v>
      </c>
      <c r="AA38" s="104">
        <f t="shared" si="12"/>
        <v>0</v>
      </c>
      <c r="AB38" s="104">
        <f t="shared" si="13"/>
        <v>0</v>
      </c>
      <c r="AC38" s="104">
        <f t="shared" si="14"/>
        <v>0</v>
      </c>
      <c r="AD38" s="105">
        <f t="shared" si="15"/>
        <v>0</v>
      </c>
      <c r="AE38" s="109"/>
      <c r="AF38" s="109"/>
      <c r="AG38" s="109"/>
      <c r="AH38" s="104">
        <f t="shared" si="16"/>
        <v>0</v>
      </c>
      <c r="AI38" s="104">
        <f t="shared" si="17"/>
        <v>0</v>
      </c>
      <c r="AJ38" s="95"/>
      <c r="AK38" s="110">
        <f t="shared" si="18"/>
        <v>0</v>
      </c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ht="15.75" customHeight="1">
      <c r="A39" s="122" t="s">
        <v>484</v>
      </c>
      <c r="B39" s="98" t="s">
        <v>371</v>
      </c>
      <c r="C39" s="119" t="s">
        <v>431</v>
      </c>
      <c r="D39" s="100"/>
      <c r="E39" s="101"/>
      <c r="F39" s="101"/>
      <c r="G39" s="102" t="s">
        <v>485</v>
      </c>
      <c r="H39" s="103">
        <v>131.0</v>
      </c>
      <c r="I39" s="102" t="s">
        <v>486</v>
      </c>
      <c r="J39" s="112" t="s">
        <v>484</v>
      </c>
      <c r="K39" s="117" t="s">
        <v>97</v>
      </c>
      <c r="L39" s="117" t="s">
        <v>94</v>
      </c>
      <c r="M39" s="117" t="s">
        <v>415</v>
      </c>
      <c r="N39" s="87">
        <v>157.245</v>
      </c>
      <c r="O39" s="111">
        <f t="shared" si="1"/>
        <v>157.2414426</v>
      </c>
      <c r="P39" s="104">
        <f t="shared" si="2"/>
        <v>25.2155574</v>
      </c>
      <c r="Q39" s="104">
        <f t="shared" si="3"/>
        <v>182.457</v>
      </c>
      <c r="R39" s="104">
        <f t="shared" si="4"/>
        <v>5.643</v>
      </c>
      <c r="S39" s="105">
        <f t="shared" si="5"/>
        <v>188.1</v>
      </c>
      <c r="T39" s="104">
        <f t="shared" si="6"/>
        <v>62.7</v>
      </c>
      <c r="U39" s="106">
        <v>250.8</v>
      </c>
      <c r="V39" s="106">
        <f t="shared" si="7"/>
        <v>100.32</v>
      </c>
      <c r="W39" s="107">
        <f t="shared" si="8"/>
        <v>13.673616</v>
      </c>
      <c r="X39" s="108">
        <f t="shared" si="9"/>
        <v>264.473616</v>
      </c>
      <c r="Y39" s="93">
        <f t="shared" si="10"/>
        <v>0.0035574</v>
      </c>
      <c r="Z39" s="104">
        <f t="shared" si="11"/>
        <v>0</v>
      </c>
      <c r="AA39" s="104">
        <f t="shared" si="12"/>
        <v>0</v>
      </c>
      <c r="AB39" s="104">
        <f t="shared" si="13"/>
        <v>0</v>
      </c>
      <c r="AC39" s="104">
        <f t="shared" si="14"/>
        <v>0</v>
      </c>
      <c r="AD39" s="105">
        <f t="shared" si="15"/>
        <v>0</v>
      </c>
      <c r="AE39" s="109"/>
      <c r="AF39" s="109"/>
      <c r="AG39" s="109"/>
      <c r="AH39" s="104">
        <f t="shared" si="16"/>
        <v>0</v>
      </c>
      <c r="AI39" s="104">
        <f t="shared" si="17"/>
        <v>0</v>
      </c>
      <c r="AJ39" s="95"/>
      <c r="AK39" s="110">
        <f t="shared" si="18"/>
        <v>0</v>
      </c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ht="15.75" customHeight="1">
      <c r="A40" s="97" t="s">
        <v>487</v>
      </c>
      <c r="B40" s="98" t="s">
        <v>371</v>
      </c>
      <c r="C40" s="99"/>
      <c r="D40" s="100"/>
      <c r="E40" s="100"/>
      <c r="F40" s="102" t="s">
        <v>488</v>
      </c>
      <c r="G40" s="102" t="s">
        <v>489</v>
      </c>
      <c r="H40" s="103">
        <v>38.0</v>
      </c>
      <c r="I40" s="102" t="s">
        <v>130</v>
      </c>
      <c r="J40" s="102" t="s">
        <v>487</v>
      </c>
      <c r="K40" s="102" t="s">
        <v>97</v>
      </c>
      <c r="L40" s="102" t="s">
        <v>94</v>
      </c>
      <c r="M40" s="102" t="s">
        <v>118</v>
      </c>
      <c r="N40" s="87">
        <v>119.52538389000003</v>
      </c>
      <c r="O40" s="111">
        <f t="shared" si="1"/>
        <v>119.5235591</v>
      </c>
      <c r="P40" s="104">
        <f t="shared" si="2"/>
        <v>19.16704092</v>
      </c>
      <c r="Q40" s="104">
        <f t="shared" si="3"/>
        <v>138.6906</v>
      </c>
      <c r="R40" s="104">
        <f t="shared" si="4"/>
        <v>4.2894</v>
      </c>
      <c r="S40" s="105">
        <f t="shared" si="5"/>
        <v>142.98</v>
      </c>
      <c r="T40" s="104">
        <f t="shared" si="6"/>
        <v>47.66</v>
      </c>
      <c r="U40" s="106">
        <v>190.64</v>
      </c>
      <c r="V40" s="106">
        <f t="shared" si="7"/>
        <v>76.256</v>
      </c>
      <c r="W40" s="107">
        <f t="shared" si="8"/>
        <v>10.3936928</v>
      </c>
      <c r="X40" s="108">
        <f t="shared" si="9"/>
        <v>201.0336928</v>
      </c>
      <c r="Y40" s="93">
        <f t="shared" si="10"/>
        <v>0.00182481</v>
      </c>
      <c r="Z40" s="104">
        <f t="shared" si="11"/>
        <v>0</v>
      </c>
      <c r="AA40" s="104">
        <f t="shared" si="12"/>
        <v>0</v>
      </c>
      <c r="AB40" s="104">
        <f t="shared" si="13"/>
        <v>0</v>
      </c>
      <c r="AC40" s="104">
        <f t="shared" si="14"/>
        <v>0</v>
      </c>
      <c r="AD40" s="105">
        <f t="shared" si="15"/>
        <v>0</v>
      </c>
      <c r="AE40" s="109"/>
      <c r="AF40" s="109"/>
      <c r="AG40" s="109"/>
      <c r="AH40" s="104">
        <f t="shared" si="16"/>
        <v>0</v>
      </c>
      <c r="AI40" s="104">
        <f t="shared" si="17"/>
        <v>0</v>
      </c>
      <c r="AJ40" s="95"/>
      <c r="AK40" s="110">
        <f t="shared" si="18"/>
        <v>0</v>
      </c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ht="15.75" customHeight="1">
      <c r="A41" s="97" t="s">
        <v>490</v>
      </c>
      <c r="B41" s="98" t="s">
        <v>371</v>
      </c>
      <c r="C41" s="99"/>
      <c r="D41" s="100"/>
      <c r="E41" s="100"/>
      <c r="F41" s="102" t="s">
        <v>491</v>
      </c>
      <c r="G41" s="102" t="s">
        <v>492</v>
      </c>
      <c r="H41" s="103">
        <v>40.0</v>
      </c>
      <c r="I41" s="102" t="s">
        <v>132</v>
      </c>
      <c r="J41" s="102" t="s">
        <v>490</v>
      </c>
      <c r="K41" s="102" t="s">
        <v>97</v>
      </c>
      <c r="L41" s="102" t="s">
        <v>94</v>
      </c>
      <c r="M41" s="117" t="s">
        <v>415</v>
      </c>
      <c r="N41" s="87">
        <v>96.5861688</v>
      </c>
      <c r="O41" s="104">
        <f t="shared" si="1"/>
        <v>96.58620768</v>
      </c>
      <c r="P41" s="104">
        <f t="shared" si="2"/>
        <v>15.48876062</v>
      </c>
      <c r="Q41" s="104">
        <f t="shared" si="3"/>
        <v>112.0749683</v>
      </c>
      <c r="R41" s="104">
        <f t="shared" si="4"/>
        <v>3.466236133</v>
      </c>
      <c r="S41" s="105">
        <f t="shared" si="5"/>
        <v>115.5412044</v>
      </c>
      <c r="T41" s="104">
        <f t="shared" si="6"/>
        <v>38.51373481</v>
      </c>
      <c r="U41" s="106">
        <v>154.05493923600002</v>
      </c>
      <c r="V41" s="106">
        <f t="shared" si="7"/>
        <v>61.62197569</v>
      </c>
      <c r="W41" s="107">
        <f t="shared" si="8"/>
        <v>8.399075287</v>
      </c>
      <c r="X41" s="108">
        <f t="shared" si="9"/>
        <v>162.4540145</v>
      </c>
      <c r="Y41" s="93">
        <f t="shared" si="10"/>
        <v>-0.00003887593297</v>
      </c>
      <c r="Z41" s="104">
        <f t="shared" si="11"/>
        <v>0</v>
      </c>
      <c r="AA41" s="104">
        <f t="shared" si="12"/>
        <v>0</v>
      </c>
      <c r="AB41" s="104">
        <f t="shared" si="13"/>
        <v>0</v>
      </c>
      <c r="AC41" s="104">
        <f t="shared" si="14"/>
        <v>0</v>
      </c>
      <c r="AD41" s="105">
        <f t="shared" si="15"/>
        <v>0</v>
      </c>
      <c r="AE41" s="109"/>
      <c r="AF41" s="109"/>
      <c r="AG41" s="109"/>
      <c r="AH41" s="104">
        <f t="shared" si="16"/>
        <v>0</v>
      </c>
      <c r="AI41" s="104">
        <f t="shared" si="17"/>
        <v>0</v>
      </c>
      <c r="AJ41" s="95"/>
      <c r="AK41" s="110">
        <f t="shared" si="18"/>
        <v>0</v>
      </c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ht="15.75" customHeight="1">
      <c r="A42" s="97" t="s">
        <v>493</v>
      </c>
      <c r="B42" s="98" t="s">
        <v>371</v>
      </c>
      <c r="C42" s="99"/>
      <c r="D42" s="100"/>
      <c r="E42" s="100"/>
      <c r="F42" s="102" t="s">
        <v>494</v>
      </c>
      <c r="G42" s="102" t="s">
        <v>495</v>
      </c>
      <c r="H42" s="103">
        <v>41.0</v>
      </c>
      <c r="I42" s="102" t="s">
        <v>496</v>
      </c>
      <c r="J42" s="102" t="s">
        <v>493</v>
      </c>
      <c r="K42" s="102" t="s">
        <v>135</v>
      </c>
      <c r="L42" s="102" t="s">
        <v>34</v>
      </c>
      <c r="M42" s="102" t="s">
        <v>35</v>
      </c>
      <c r="N42" s="87">
        <v>19.920897315</v>
      </c>
      <c r="O42" s="111">
        <f t="shared" si="1"/>
        <v>19.90596413</v>
      </c>
      <c r="P42" s="104">
        <f t="shared" si="2"/>
        <v>3.192160875</v>
      </c>
      <c r="Q42" s="104">
        <f t="shared" si="3"/>
        <v>23.098125</v>
      </c>
      <c r="R42" s="104">
        <f t="shared" si="4"/>
        <v>0.714375</v>
      </c>
      <c r="S42" s="105">
        <f t="shared" si="5"/>
        <v>23.8125</v>
      </c>
      <c r="T42" s="104">
        <f t="shared" si="6"/>
        <v>7.9375</v>
      </c>
      <c r="U42" s="106">
        <v>31.75</v>
      </c>
      <c r="V42" s="106">
        <f t="shared" si="7"/>
        <v>12.7</v>
      </c>
      <c r="W42" s="107">
        <f t="shared" si="8"/>
        <v>1.73101</v>
      </c>
      <c r="X42" s="108">
        <f t="shared" si="9"/>
        <v>33.48101</v>
      </c>
      <c r="Y42" s="93">
        <f t="shared" si="10"/>
        <v>0.01493319</v>
      </c>
      <c r="Z42" s="104">
        <f t="shared" si="11"/>
        <v>0</v>
      </c>
      <c r="AA42" s="104">
        <f t="shared" si="12"/>
        <v>0</v>
      </c>
      <c r="AB42" s="104">
        <f t="shared" si="13"/>
        <v>0</v>
      </c>
      <c r="AC42" s="104">
        <f t="shared" si="14"/>
        <v>0</v>
      </c>
      <c r="AD42" s="105">
        <f t="shared" si="15"/>
        <v>0</v>
      </c>
      <c r="AE42" s="109"/>
      <c r="AF42" s="109"/>
      <c r="AG42" s="109"/>
      <c r="AH42" s="104">
        <f t="shared" si="16"/>
        <v>0</v>
      </c>
      <c r="AI42" s="104">
        <f t="shared" si="17"/>
        <v>0</v>
      </c>
      <c r="AJ42" s="95"/>
      <c r="AK42" s="110">
        <f t="shared" si="18"/>
        <v>0</v>
      </c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ht="15.75" customHeight="1">
      <c r="A43" s="97" t="s">
        <v>497</v>
      </c>
      <c r="B43" s="98" t="s">
        <v>371</v>
      </c>
      <c r="C43" s="99"/>
      <c r="D43" s="100"/>
      <c r="E43" s="100"/>
      <c r="F43" s="102" t="s">
        <v>498</v>
      </c>
      <c r="G43" s="102" t="s">
        <v>499</v>
      </c>
      <c r="H43" s="103">
        <v>42.0</v>
      </c>
      <c r="I43" s="102" t="s">
        <v>139</v>
      </c>
      <c r="J43" s="102" t="s">
        <v>497</v>
      </c>
      <c r="K43" s="102" t="s">
        <v>135</v>
      </c>
      <c r="L43" s="102" t="s">
        <v>34</v>
      </c>
      <c r="M43" s="102" t="s">
        <v>57</v>
      </c>
      <c r="N43" s="87">
        <v>19.920897315</v>
      </c>
      <c r="O43" s="111">
        <f t="shared" si="1"/>
        <v>19.90596413</v>
      </c>
      <c r="P43" s="104">
        <f t="shared" si="2"/>
        <v>3.192160875</v>
      </c>
      <c r="Q43" s="104">
        <f t="shared" si="3"/>
        <v>23.098125</v>
      </c>
      <c r="R43" s="104">
        <f t="shared" si="4"/>
        <v>0.714375</v>
      </c>
      <c r="S43" s="105">
        <f t="shared" si="5"/>
        <v>23.8125</v>
      </c>
      <c r="T43" s="104">
        <f t="shared" si="6"/>
        <v>7.9375</v>
      </c>
      <c r="U43" s="106">
        <v>31.75</v>
      </c>
      <c r="V43" s="106">
        <f t="shared" si="7"/>
        <v>12.7</v>
      </c>
      <c r="W43" s="107">
        <f t="shared" si="8"/>
        <v>1.73101</v>
      </c>
      <c r="X43" s="108">
        <f t="shared" si="9"/>
        <v>33.48101</v>
      </c>
      <c r="Y43" s="93">
        <f t="shared" si="10"/>
        <v>0.01493319</v>
      </c>
      <c r="Z43" s="104">
        <f t="shared" si="11"/>
        <v>0</v>
      </c>
      <c r="AA43" s="104">
        <f t="shared" si="12"/>
        <v>0</v>
      </c>
      <c r="AB43" s="104">
        <f t="shared" si="13"/>
        <v>0</v>
      </c>
      <c r="AC43" s="104">
        <f t="shared" si="14"/>
        <v>0</v>
      </c>
      <c r="AD43" s="105">
        <f t="shared" si="15"/>
        <v>0</v>
      </c>
      <c r="AE43" s="109"/>
      <c r="AF43" s="109"/>
      <c r="AG43" s="109"/>
      <c r="AH43" s="104">
        <f t="shared" si="16"/>
        <v>0</v>
      </c>
      <c r="AI43" s="104">
        <f t="shared" si="17"/>
        <v>0</v>
      </c>
      <c r="AJ43" s="95"/>
      <c r="AK43" s="110">
        <f t="shared" si="18"/>
        <v>0</v>
      </c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ht="15.75" customHeight="1">
      <c r="A44" s="97" t="s">
        <v>500</v>
      </c>
      <c r="B44" s="98" t="s">
        <v>371</v>
      </c>
      <c r="C44" s="99"/>
      <c r="D44" s="100"/>
      <c r="E44" s="100"/>
      <c r="F44" s="102" t="s">
        <v>501</v>
      </c>
      <c r="G44" s="102" t="s">
        <v>502</v>
      </c>
      <c r="H44" s="103">
        <v>43.0</v>
      </c>
      <c r="I44" s="102" t="s">
        <v>143</v>
      </c>
      <c r="J44" s="102" t="s">
        <v>500</v>
      </c>
      <c r="K44" s="102" t="s">
        <v>140</v>
      </c>
      <c r="L44" s="102" t="s">
        <v>34</v>
      </c>
      <c r="M44" s="102" t="s">
        <v>141</v>
      </c>
      <c r="N44" s="87">
        <v>11.952538389</v>
      </c>
      <c r="O44" s="111">
        <f t="shared" si="1"/>
        <v>11.94984807</v>
      </c>
      <c r="P44" s="104">
        <f t="shared" si="2"/>
        <v>1.91630193</v>
      </c>
      <c r="Q44" s="104">
        <f t="shared" si="3"/>
        <v>13.86615</v>
      </c>
      <c r="R44" s="104">
        <f t="shared" si="4"/>
        <v>0.42885</v>
      </c>
      <c r="S44" s="105">
        <f t="shared" si="5"/>
        <v>14.295</v>
      </c>
      <c r="T44" s="104">
        <f t="shared" si="6"/>
        <v>4.765</v>
      </c>
      <c r="U44" s="106">
        <v>19.06</v>
      </c>
      <c r="V44" s="106">
        <f t="shared" si="7"/>
        <v>7.624</v>
      </c>
      <c r="W44" s="107">
        <f t="shared" si="8"/>
        <v>1.0391512</v>
      </c>
      <c r="X44" s="108">
        <f t="shared" si="9"/>
        <v>20.0991512</v>
      </c>
      <c r="Y44" s="93">
        <f t="shared" si="10"/>
        <v>0.002690319</v>
      </c>
      <c r="Z44" s="104">
        <f t="shared" si="11"/>
        <v>0</v>
      </c>
      <c r="AA44" s="104">
        <f t="shared" si="12"/>
        <v>0</v>
      </c>
      <c r="AB44" s="104">
        <f t="shared" si="13"/>
        <v>0</v>
      </c>
      <c r="AC44" s="104">
        <f t="shared" si="14"/>
        <v>0</v>
      </c>
      <c r="AD44" s="105">
        <f t="shared" si="15"/>
        <v>0</v>
      </c>
      <c r="AE44" s="109"/>
      <c r="AF44" s="109"/>
      <c r="AG44" s="109"/>
      <c r="AH44" s="104">
        <f t="shared" si="16"/>
        <v>0</v>
      </c>
      <c r="AI44" s="104">
        <f t="shared" si="17"/>
        <v>0</v>
      </c>
      <c r="AJ44" s="95"/>
      <c r="AK44" s="110">
        <f t="shared" si="18"/>
        <v>0</v>
      </c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ht="15.75" customHeight="1">
      <c r="A45" s="97" t="s">
        <v>144</v>
      </c>
      <c r="B45" s="98" t="s">
        <v>371</v>
      </c>
      <c r="C45" s="99"/>
      <c r="D45" s="100"/>
      <c r="E45" s="100"/>
      <c r="F45" s="102" t="s">
        <v>503</v>
      </c>
      <c r="G45" s="102" t="s">
        <v>504</v>
      </c>
      <c r="H45" s="103">
        <v>44.0</v>
      </c>
      <c r="I45" s="102" t="s">
        <v>145</v>
      </c>
      <c r="J45" s="102" t="s">
        <v>144</v>
      </c>
      <c r="K45" s="102" t="s">
        <v>76</v>
      </c>
      <c r="L45" s="102" t="s">
        <v>34</v>
      </c>
      <c r="M45" s="102" t="s">
        <v>57</v>
      </c>
      <c r="N45" s="87">
        <v>169.0257954</v>
      </c>
      <c r="O45" s="113">
        <f t="shared" si="1"/>
        <v>169.0258634</v>
      </c>
      <c r="P45" s="104">
        <f t="shared" si="2"/>
        <v>27.10533108</v>
      </c>
      <c r="Q45" s="104">
        <f t="shared" si="3"/>
        <v>196.1311945</v>
      </c>
      <c r="R45" s="104">
        <f t="shared" si="4"/>
        <v>6.065913232</v>
      </c>
      <c r="S45" s="105">
        <f t="shared" si="5"/>
        <v>202.1971077</v>
      </c>
      <c r="T45" s="104">
        <f t="shared" si="6"/>
        <v>67.39903592</v>
      </c>
      <c r="U45" s="106">
        <v>269.596143663</v>
      </c>
      <c r="V45" s="106">
        <f t="shared" si="7"/>
        <v>107.8384575</v>
      </c>
      <c r="W45" s="107">
        <f t="shared" si="8"/>
        <v>14.69838175</v>
      </c>
      <c r="X45" s="108">
        <f t="shared" si="9"/>
        <v>284.2945254</v>
      </c>
      <c r="Y45" s="93">
        <f t="shared" si="10"/>
        <v>-0.00006803288267</v>
      </c>
      <c r="Z45" s="104">
        <f t="shared" si="11"/>
        <v>0</v>
      </c>
      <c r="AA45" s="104">
        <f t="shared" si="12"/>
        <v>0</v>
      </c>
      <c r="AB45" s="104">
        <f t="shared" si="13"/>
        <v>0</v>
      </c>
      <c r="AC45" s="104">
        <f t="shared" si="14"/>
        <v>0</v>
      </c>
      <c r="AD45" s="105">
        <f t="shared" si="15"/>
        <v>0</v>
      </c>
      <c r="AE45" s="109"/>
      <c r="AF45" s="109"/>
      <c r="AG45" s="109"/>
      <c r="AH45" s="104">
        <f t="shared" si="16"/>
        <v>0</v>
      </c>
      <c r="AI45" s="104">
        <f t="shared" si="17"/>
        <v>0</v>
      </c>
      <c r="AJ45" s="95"/>
      <c r="AK45" s="110">
        <f t="shared" si="18"/>
        <v>0</v>
      </c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ht="15.75" customHeight="1">
      <c r="A46" s="97" t="s">
        <v>149</v>
      </c>
      <c r="B46" s="98" t="s">
        <v>371</v>
      </c>
      <c r="C46" s="99"/>
      <c r="D46" s="100"/>
      <c r="E46" s="100"/>
      <c r="F46" s="102" t="s">
        <v>505</v>
      </c>
      <c r="G46" s="102" t="s">
        <v>506</v>
      </c>
      <c r="H46" s="103">
        <v>46.0</v>
      </c>
      <c r="I46" s="102" t="s">
        <v>150</v>
      </c>
      <c r="J46" s="102" t="s">
        <v>149</v>
      </c>
      <c r="K46" s="102" t="s">
        <v>45</v>
      </c>
      <c r="L46" s="102" t="s">
        <v>34</v>
      </c>
      <c r="M46" s="102" t="s">
        <v>35</v>
      </c>
      <c r="N46" s="87">
        <v>59.762691945000014</v>
      </c>
      <c r="O46" s="104">
        <f t="shared" si="1"/>
        <v>59.75738298</v>
      </c>
      <c r="P46" s="104">
        <f t="shared" si="2"/>
        <v>9.582815418</v>
      </c>
      <c r="Q46" s="104">
        <f t="shared" si="3"/>
        <v>69.34019839</v>
      </c>
      <c r="R46" s="104">
        <f t="shared" si="4"/>
        <v>2.144542218</v>
      </c>
      <c r="S46" s="105">
        <f t="shared" si="5"/>
        <v>71.48474061</v>
      </c>
      <c r="T46" s="104">
        <f t="shared" si="6"/>
        <v>23.82824687</v>
      </c>
      <c r="U46" s="106">
        <v>95.312987484</v>
      </c>
      <c r="V46" s="106">
        <f t="shared" si="7"/>
        <v>38.12519499</v>
      </c>
      <c r="W46" s="107">
        <f t="shared" si="8"/>
        <v>5.196464078</v>
      </c>
      <c r="X46" s="108">
        <f t="shared" si="9"/>
        <v>100.5094516</v>
      </c>
      <c r="Y46" s="93">
        <f t="shared" si="10"/>
        <v>0.005308968525</v>
      </c>
      <c r="Z46" s="104">
        <f t="shared" si="11"/>
        <v>0</v>
      </c>
      <c r="AA46" s="104">
        <f t="shared" si="12"/>
        <v>0</v>
      </c>
      <c r="AB46" s="104">
        <f t="shared" si="13"/>
        <v>0</v>
      </c>
      <c r="AC46" s="104">
        <f t="shared" si="14"/>
        <v>0</v>
      </c>
      <c r="AD46" s="105">
        <f t="shared" si="15"/>
        <v>0</v>
      </c>
      <c r="AE46" s="109"/>
      <c r="AF46" s="109"/>
      <c r="AG46" s="109"/>
      <c r="AH46" s="104">
        <f t="shared" si="16"/>
        <v>0</v>
      </c>
      <c r="AI46" s="104">
        <f t="shared" si="17"/>
        <v>0</v>
      </c>
      <c r="AJ46" s="95"/>
      <c r="AK46" s="110">
        <f t="shared" si="18"/>
        <v>0</v>
      </c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ht="15.75" customHeight="1">
      <c r="A47" s="97" t="s">
        <v>151</v>
      </c>
      <c r="B47" s="98" t="s">
        <v>371</v>
      </c>
      <c r="C47" s="99"/>
      <c r="D47" s="100"/>
      <c r="E47" s="114"/>
      <c r="F47" s="102" t="s">
        <v>507</v>
      </c>
      <c r="G47" s="102" t="s">
        <v>508</v>
      </c>
      <c r="H47" s="103">
        <v>47.0</v>
      </c>
      <c r="I47" s="102" t="s">
        <v>152</v>
      </c>
      <c r="J47" s="102" t="s">
        <v>151</v>
      </c>
      <c r="K47" s="102" t="s">
        <v>41</v>
      </c>
      <c r="L47" s="102" t="s">
        <v>42</v>
      </c>
      <c r="M47" s="121" t="s">
        <v>415</v>
      </c>
      <c r="N47" s="87">
        <v>83.864</v>
      </c>
      <c r="O47" s="111">
        <f t="shared" si="1"/>
        <v>83.86837232</v>
      </c>
      <c r="P47" s="104">
        <f t="shared" si="2"/>
        <v>13.44930269</v>
      </c>
      <c r="Q47" s="104">
        <f t="shared" si="3"/>
        <v>97.317675</v>
      </c>
      <c r="R47" s="104">
        <f t="shared" si="4"/>
        <v>3.009825</v>
      </c>
      <c r="S47" s="105">
        <f t="shared" si="5"/>
        <v>100.3275</v>
      </c>
      <c r="T47" s="104">
        <f t="shared" si="6"/>
        <v>33.4425</v>
      </c>
      <c r="U47" s="106">
        <v>133.77</v>
      </c>
      <c r="V47" s="106">
        <f t="shared" si="7"/>
        <v>53.508</v>
      </c>
      <c r="W47" s="107">
        <f t="shared" si="8"/>
        <v>7.2931404</v>
      </c>
      <c r="X47" s="108">
        <f t="shared" si="9"/>
        <v>141.0631404</v>
      </c>
      <c r="Y47" s="93">
        <f t="shared" si="10"/>
        <v>-0.004372315</v>
      </c>
      <c r="Z47" s="104">
        <f t="shared" si="11"/>
        <v>0</v>
      </c>
      <c r="AA47" s="104">
        <f t="shared" si="12"/>
        <v>0</v>
      </c>
      <c r="AB47" s="104">
        <f t="shared" si="13"/>
        <v>0</v>
      </c>
      <c r="AC47" s="104">
        <f t="shared" si="14"/>
        <v>0</v>
      </c>
      <c r="AD47" s="105">
        <f t="shared" si="15"/>
        <v>0</v>
      </c>
      <c r="AE47" s="109"/>
      <c r="AF47" s="109"/>
      <c r="AG47" s="109"/>
      <c r="AH47" s="104">
        <f t="shared" si="16"/>
        <v>0</v>
      </c>
      <c r="AI47" s="104">
        <f t="shared" si="17"/>
        <v>0</v>
      </c>
      <c r="AJ47" s="95"/>
      <c r="AK47" s="110">
        <f t="shared" si="18"/>
        <v>0</v>
      </c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ht="15.75" customHeight="1">
      <c r="A48" s="97" t="s">
        <v>509</v>
      </c>
      <c r="B48" s="98" t="s">
        <v>371</v>
      </c>
      <c r="C48" s="99"/>
      <c r="D48" s="100"/>
      <c r="E48" s="100"/>
      <c r="F48" s="102" t="s">
        <v>510</v>
      </c>
      <c r="G48" s="102" t="s">
        <v>511</v>
      </c>
      <c r="H48" s="103">
        <v>48.0</v>
      </c>
      <c r="I48" s="102" t="s">
        <v>156</v>
      </c>
      <c r="J48" s="102" t="s">
        <v>509</v>
      </c>
      <c r="K48" s="102" t="s">
        <v>45</v>
      </c>
      <c r="L48" s="102" t="s">
        <v>34</v>
      </c>
      <c r="M48" s="117" t="s">
        <v>415</v>
      </c>
      <c r="N48" s="87">
        <v>59.76269194500001</v>
      </c>
      <c r="O48" s="113">
        <f t="shared" si="1"/>
        <v>59.75738298</v>
      </c>
      <c r="P48" s="104">
        <f t="shared" si="2"/>
        <v>9.582815418</v>
      </c>
      <c r="Q48" s="104">
        <f t="shared" si="3"/>
        <v>69.34019839</v>
      </c>
      <c r="R48" s="104">
        <f t="shared" si="4"/>
        <v>2.144542218</v>
      </c>
      <c r="S48" s="105">
        <f t="shared" si="5"/>
        <v>71.48474061</v>
      </c>
      <c r="T48" s="104">
        <f t="shared" si="6"/>
        <v>23.82824687</v>
      </c>
      <c r="U48" s="106">
        <v>95.312987484</v>
      </c>
      <c r="V48" s="106">
        <f t="shared" si="7"/>
        <v>38.12519499</v>
      </c>
      <c r="W48" s="107">
        <f t="shared" si="8"/>
        <v>5.196464078</v>
      </c>
      <c r="X48" s="108">
        <f t="shared" si="9"/>
        <v>100.5094516</v>
      </c>
      <c r="Y48" s="93">
        <f t="shared" si="10"/>
        <v>0.005308968525</v>
      </c>
      <c r="Z48" s="104">
        <f t="shared" si="11"/>
        <v>0</v>
      </c>
      <c r="AA48" s="104">
        <f t="shared" si="12"/>
        <v>0</v>
      </c>
      <c r="AB48" s="104">
        <f t="shared" si="13"/>
        <v>0</v>
      </c>
      <c r="AC48" s="104">
        <f t="shared" si="14"/>
        <v>0</v>
      </c>
      <c r="AD48" s="105">
        <f t="shared" si="15"/>
        <v>0</v>
      </c>
      <c r="AE48" s="109"/>
      <c r="AF48" s="109"/>
      <c r="AG48" s="109"/>
      <c r="AH48" s="104">
        <f t="shared" si="16"/>
        <v>0</v>
      </c>
      <c r="AI48" s="104">
        <f t="shared" si="17"/>
        <v>0</v>
      </c>
      <c r="AJ48" s="95"/>
      <c r="AK48" s="110">
        <f t="shared" si="18"/>
        <v>0</v>
      </c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ht="15.75" customHeight="1">
      <c r="A49" s="97" t="s">
        <v>157</v>
      </c>
      <c r="B49" s="98" t="s">
        <v>371</v>
      </c>
      <c r="C49" s="99"/>
      <c r="D49" s="100"/>
      <c r="E49" s="100"/>
      <c r="F49" s="102" t="s">
        <v>512</v>
      </c>
      <c r="G49" s="102" t="s">
        <v>513</v>
      </c>
      <c r="H49" s="103">
        <v>49.0</v>
      </c>
      <c r="I49" s="102" t="s">
        <v>158</v>
      </c>
      <c r="J49" s="102" t="s">
        <v>157</v>
      </c>
      <c r="K49" s="102" t="s">
        <v>33</v>
      </c>
      <c r="L49" s="102" t="s">
        <v>34</v>
      </c>
      <c r="M49" s="102" t="s">
        <v>35</v>
      </c>
      <c r="N49" s="87">
        <v>132.80598210000002</v>
      </c>
      <c r="O49" s="104">
        <f t="shared" si="1"/>
        <v>132.8060356</v>
      </c>
      <c r="P49" s="104">
        <f t="shared" si="2"/>
        <v>21.29704585</v>
      </c>
      <c r="Q49" s="104">
        <f t="shared" si="3"/>
        <v>154.1030814</v>
      </c>
      <c r="R49" s="104">
        <f t="shared" si="4"/>
        <v>4.766074683</v>
      </c>
      <c r="S49" s="105">
        <f t="shared" si="5"/>
        <v>158.8691561</v>
      </c>
      <c r="T49" s="104">
        <f t="shared" si="6"/>
        <v>52.95638536</v>
      </c>
      <c r="U49" s="106">
        <v>211.82554144950004</v>
      </c>
      <c r="V49" s="106">
        <f t="shared" si="7"/>
        <v>84.73021658</v>
      </c>
      <c r="W49" s="107">
        <f t="shared" si="8"/>
        <v>11.54872852</v>
      </c>
      <c r="X49" s="108">
        <f t="shared" si="9"/>
        <v>223.37427</v>
      </c>
      <c r="Y49" s="93">
        <f t="shared" si="10"/>
        <v>-0.00005345440781</v>
      </c>
      <c r="Z49" s="104">
        <f t="shared" si="11"/>
        <v>0</v>
      </c>
      <c r="AA49" s="104">
        <f t="shared" si="12"/>
        <v>0</v>
      </c>
      <c r="AB49" s="104">
        <f t="shared" si="13"/>
        <v>0</v>
      </c>
      <c r="AC49" s="104">
        <f t="shared" si="14"/>
        <v>0</v>
      </c>
      <c r="AD49" s="105">
        <f t="shared" si="15"/>
        <v>0</v>
      </c>
      <c r="AE49" s="109"/>
      <c r="AF49" s="109"/>
      <c r="AG49" s="109"/>
      <c r="AH49" s="104">
        <f t="shared" si="16"/>
        <v>0</v>
      </c>
      <c r="AI49" s="104">
        <f t="shared" si="17"/>
        <v>0</v>
      </c>
      <c r="AJ49" s="95"/>
      <c r="AK49" s="110">
        <f t="shared" si="18"/>
        <v>0</v>
      </c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ht="15.75" customHeight="1">
      <c r="A50" s="97" t="s">
        <v>514</v>
      </c>
      <c r="B50" s="98" t="s">
        <v>371</v>
      </c>
      <c r="C50" s="99"/>
      <c r="D50" s="100"/>
      <c r="E50" s="100"/>
      <c r="F50" s="102" t="s">
        <v>515</v>
      </c>
      <c r="G50" s="102" t="s">
        <v>516</v>
      </c>
      <c r="H50" s="103">
        <v>50.0</v>
      </c>
      <c r="I50" s="102" t="s">
        <v>161</v>
      </c>
      <c r="J50" s="102" t="s">
        <v>514</v>
      </c>
      <c r="K50" s="102" t="s">
        <v>159</v>
      </c>
      <c r="L50" s="102" t="s">
        <v>94</v>
      </c>
      <c r="M50" s="102" t="s">
        <v>35</v>
      </c>
      <c r="N50" s="87">
        <v>126.16568299500004</v>
      </c>
      <c r="O50" s="111">
        <f t="shared" si="1"/>
        <v>126.1693298</v>
      </c>
      <c r="P50" s="104">
        <f t="shared" si="2"/>
        <v>20.23277022</v>
      </c>
      <c r="Q50" s="104">
        <f t="shared" si="3"/>
        <v>146.4021</v>
      </c>
      <c r="R50" s="104">
        <f t="shared" si="4"/>
        <v>4.5279</v>
      </c>
      <c r="S50" s="105">
        <f t="shared" si="5"/>
        <v>150.93</v>
      </c>
      <c r="T50" s="104">
        <f t="shared" si="6"/>
        <v>50.31</v>
      </c>
      <c r="U50" s="106">
        <v>201.24</v>
      </c>
      <c r="V50" s="106">
        <f t="shared" si="7"/>
        <v>80.496</v>
      </c>
      <c r="W50" s="107">
        <f t="shared" si="8"/>
        <v>10.9716048</v>
      </c>
      <c r="X50" s="108">
        <f t="shared" si="9"/>
        <v>212.2116048</v>
      </c>
      <c r="Y50" s="93">
        <f t="shared" si="10"/>
        <v>-0.003646785</v>
      </c>
      <c r="Z50" s="104">
        <f t="shared" si="11"/>
        <v>0</v>
      </c>
      <c r="AA50" s="104">
        <f t="shared" si="12"/>
        <v>0</v>
      </c>
      <c r="AB50" s="104">
        <f t="shared" si="13"/>
        <v>0</v>
      </c>
      <c r="AC50" s="104">
        <f t="shared" si="14"/>
        <v>0</v>
      </c>
      <c r="AD50" s="105">
        <f t="shared" si="15"/>
        <v>0</v>
      </c>
      <c r="AE50" s="109"/>
      <c r="AF50" s="109"/>
      <c r="AG50" s="109"/>
      <c r="AH50" s="104">
        <f t="shared" si="16"/>
        <v>0</v>
      </c>
      <c r="AI50" s="104">
        <f t="shared" si="17"/>
        <v>0</v>
      </c>
      <c r="AJ50" s="95"/>
      <c r="AK50" s="110">
        <f t="shared" si="18"/>
        <v>0</v>
      </c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ht="15.75" customHeight="1">
      <c r="A51" s="97" t="s">
        <v>517</v>
      </c>
      <c r="B51" s="98" t="s">
        <v>371</v>
      </c>
      <c r="C51" s="99"/>
      <c r="D51" s="100"/>
      <c r="E51" s="100"/>
      <c r="F51" s="102" t="s">
        <v>518</v>
      </c>
      <c r="G51" s="102" t="s">
        <v>519</v>
      </c>
      <c r="H51" s="103">
        <v>52.0</v>
      </c>
      <c r="I51" s="102" t="s">
        <v>172</v>
      </c>
      <c r="J51" s="102" t="s">
        <v>517</v>
      </c>
      <c r="K51" s="102" t="s">
        <v>45</v>
      </c>
      <c r="L51" s="102" t="s">
        <v>34</v>
      </c>
      <c r="M51" s="102" t="s">
        <v>118</v>
      </c>
      <c r="N51" s="87">
        <v>76.829907</v>
      </c>
      <c r="O51" s="113">
        <f t="shared" si="1"/>
        <v>76.8230566</v>
      </c>
      <c r="P51" s="104">
        <f t="shared" si="2"/>
        <v>12.31950153</v>
      </c>
      <c r="Q51" s="104">
        <f t="shared" si="3"/>
        <v>89.14255814</v>
      </c>
      <c r="R51" s="104">
        <f t="shared" si="4"/>
        <v>2.756986334</v>
      </c>
      <c r="S51" s="105">
        <f t="shared" si="5"/>
        <v>91.89954447</v>
      </c>
      <c r="T51" s="104">
        <f t="shared" si="6"/>
        <v>30.63318149</v>
      </c>
      <c r="U51" s="106">
        <v>122.532725964</v>
      </c>
      <c r="V51" s="106">
        <f t="shared" si="7"/>
        <v>49.01309039</v>
      </c>
      <c r="W51" s="107">
        <f t="shared" si="8"/>
        <v>6.68048422</v>
      </c>
      <c r="X51" s="108">
        <f t="shared" si="9"/>
        <v>129.2132102</v>
      </c>
      <c r="Y51" s="93">
        <f t="shared" si="10"/>
        <v>0.006850395974</v>
      </c>
      <c r="Z51" s="104">
        <f t="shared" si="11"/>
        <v>0</v>
      </c>
      <c r="AA51" s="104">
        <f t="shared" si="12"/>
        <v>0</v>
      </c>
      <c r="AB51" s="104">
        <f t="shared" si="13"/>
        <v>0</v>
      </c>
      <c r="AC51" s="104">
        <f t="shared" si="14"/>
        <v>0</v>
      </c>
      <c r="AD51" s="105">
        <f t="shared" si="15"/>
        <v>0</v>
      </c>
      <c r="AE51" s="109"/>
      <c r="AF51" s="109"/>
      <c r="AG51" s="109"/>
      <c r="AH51" s="104">
        <f t="shared" si="16"/>
        <v>0</v>
      </c>
      <c r="AI51" s="104">
        <f t="shared" si="17"/>
        <v>0</v>
      </c>
      <c r="AJ51" s="95"/>
      <c r="AK51" s="110">
        <f t="shared" si="18"/>
        <v>0</v>
      </c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ht="15.75" customHeight="1">
      <c r="A52" s="97" t="s">
        <v>176</v>
      </c>
      <c r="B52" s="98" t="s">
        <v>371</v>
      </c>
      <c r="C52" s="99"/>
      <c r="D52" s="100"/>
      <c r="E52" s="100"/>
      <c r="F52" s="102" t="s">
        <v>520</v>
      </c>
      <c r="G52" s="102" t="s">
        <v>521</v>
      </c>
      <c r="H52" s="103">
        <v>53.0</v>
      </c>
      <c r="I52" s="102" t="s">
        <v>177</v>
      </c>
      <c r="J52" s="102" t="s">
        <v>176</v>
      </c>
      <c r="K52" s="102" t="s">
        <v>175</v>
      </c>
      <c r="L52" s="102" t="s">
        <v>34</v>
      </c>
      <c r="M52" s="102" t="s">
        <v>35</v>
      </c>
      <c r="N52" s="87">
        <v>106.24478568</v>
      </c>
      <c r="O52" s="113">
        <f t="shared" si="1"/>
        <v>106.2448284</v>
      </c>
      <c r="P52" s="104">
        <f t="shared" si="2"/>
        <v>17.03763668</v>
      </c>
      <c r="Q52" s="104">
        <f t="shared" si="3"/>
        <v>123.2824651</v>
      </c>
      <c r="R52" s="104">
        <f t="shared" si="4"/>
        <v>3.812859746</v>
      </c>
      <c r="S52" s="105">
        <f t="shared" si="5"/>
        <v>127.0953249</v>
      </c>
      <c r="T52" s="104">
        <f t="shared" si="6"/>
        <v>42.36510829</v>
      </c>
      <c r="U52" s="106">
        <v>169.4604331596</v>
      </c>
      <c r="V52" s="106">
        <f t="shared" si="7"/>
        <v>67.78417326</v>
      </c>
      <c r="W52" s="107">
        <f t="shared" si="8"/>
        <v>9.238982816</v>
      </c>
      <c r="X52" s="108">
        <f t="shared" si="9"/>
        <v>178.699416</v>
      </c>
      <c r="Y52" s="93">
        <f t="shared" si="10"/>
        <v>-0.00004276352624</v>
      </c>
      <c r="Z52" s="104">
        <f t="shared" si="11"/>
        <v>0</v>
      </c>
      <c r="AA52" s="104">
        <f t="shared" si="12"/>
        <v>0</v>
      </c>
      <c r="AB52" s="104">
        <f t="shared" si="13"/>
        <v>0</v>
      </c>
      <c r="AC52" s="104">
        <f t="shared" si="14"/>
        <v>0</v>
      </c>
      <c r="AD52" s="105">
        <f t="shared" si="15"/>
        <v>0</v>
      </c>
      <c r="AE52" s="109"/>
      <c r="AF52" s="109"/>
      <c r="AG52" s="109"/>
      <c r="AH52" s="104">
        <f t="shared" si="16"/>
        <v>0</v>
      </c>
      <c r="AI52" s="104">
        <f t="shared" si="17"/>
        <v>0</v>
      </c>
      <c r="AJ52" s="95"/>
      <c r="AK52" s="110">
        <f t="shared" si="18"/>
        <v>0</v>
      </c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ht="15.75" customHeight="1">
      <c r="A53" s="97" t="s">
        <v>179</v>
      </c>
      <c r="B53" s="98" t="s">
        <v>371</v>
      </c>
      <c r="C53" s="99"/>
      <c r="D53" s="100"/>
      <c r="E53" s="100"/>
      <c r="F53" s="102" t="s">
        <v>522</v>
      </c>
      <c r="G53" s="102" t="s">
        <v>523</v>
      </c>
      <c r="H53" s="103">
        <v>54.0</v>
      </c>
      <c r="I53" s="102" t="s">
        <v>180</v>
      </c>
      <c r="J53" s="102" t="s">
        <v>179</v>
      </c>
      <c r="K53" s="102" t="s">
        <v>178</v>
      </c>
      <c r="L53" s="102" t="s">
        <v>34</v>
      </c>
      <c r="M53" s="117" t="s">
        <v>415</v>
      </c>
      <c r="N53" s="87">
        <v>142.68411300000002</v>
      </c>
      <c r="O53" s="104">
        <f t="shared" si="1"/>
        <v>142.6772891</v>
      </c>
      <c r="P53" s="104">
        <f t="shared" si="2"/>
        <v>22.88002014</v>
      </c>
      <c r="Q53" s="104">
        <f t="shared" si="3"/>
        <v>165.5573092</v>
      </c>
      <c r="R53" s="104">
        <f t="shared" si="4"/>
        <v>5.120329152</v>
      </c>
      <c r="S53" s="105">
        <f t="shared" si="5"/>
        <v>170.6776384</v>
      </c>
      <c r="T53" s="104">
        <f t="shared" si="6"/>
        <v>56.89254613</v>
      </c>
      <c r="U53" s="106">
        <v>227.570184534</v>
      </c>
      <c r="V53" s="106">
        <f t="shared" si="7"/>
        <v>91.02807381</v>
      </c>
      <c r="W53" s="107">
        <f t="shared" si="8"/>
        <v>12.40712646</v>
      </c>
      <c r="X53" s="108">
        <f t="shared" si="9"/>
        <v>239.977311</v>
      </c>
      <c r="Y53" s="93">
        <f t="shared" si="10"/>
        <v>0.006823889656</v>
      </c>
      <c r="Z53" s="104">
        <f t="shared" si="11"/>
        <v>0</v>
      </c>
      <c r="AA53" s="104">
        <f t="shared" si="12"/>
        <v>0</v>
      </c>
      <c r="AB53" s="104">
        <f t="shared" si="13"/>
        <v>0</v>
      </c>
      <c r="AC53" s="104">
        <f t="shared" si="14"/>
        <v>0</v>
      </c>
      <c r="AD53" s="105">
        <f t="shared" si="15"/>
        <v>0</v>
      </c>
      <c r="AE53" s="109"/>
      <c r="AF53" s="109"/>
      <c r="AG53" s="109"/>
      <c r="AH53" s="104">
        <f t="shared" si="16"/>
        <v>0</v>
      </c>
      <c r="AI53" s="104">
        <f t="shared" si="17"/>
        <v>0</v>
      </c>
      <c r="AJ53" s="95"/>
      <c r="AK53" s="110">
        <f t="shared" si="18"/>
        <v>0</v>
      </c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ht="15.75" customHeight="1">
      <c r="A54" s="97" t="s">
        <v>181</v>
      </c>
      <c r="B54" s="98" t="s">
        <v>371</v>
      </c>
      <c r="C54" s="99"/>
      <c r="D54" s="100"/>
      <c r="E54" s="100"/>
      <c r="F54" s="102" t="s">
        <v>524</v>
      </c>
      <c r="G54" s="102" t="s">
        <v>525</v>
      </c>
      <c r="H54" s="103">
        <v>55.0</v>
      </c>
      <c r="I54" s="102" t="s">
        <v>182</v>
      </c>
      <c r="J54" s="102" t="s">
        <v>181</v>
      </c>
      <c r="K54" s="102" t="s">
        <v>45</v>
      </c>
      <c r="L54" s="102" t="s">
        <v>34</v>
      </c>
      <c r="M54" s="102" t="s">
        <v>35</v>
      </c>
      <c r="N54" s="87">
        <v>241.46542200000005</v>
      </c>
      <c r="O54" s="104">
        <f t="shared" si="1"/>
        <v>241.4655192</v>
      </c>
      <c r="P54" s="104">
        <f t="shared" si="2"/>
        <v>38.72190155</v>
      </c>
      <c r="Q54" s="104">
        <f t="shared" si="3"/>
        <v>280.1874207</v>
      </c>
      <c r="R54" s="104">
        <f t="shared" si="4"/>
        <v>8.665590332</v>
      </c>
      <c r="S54" s="105">
        <f t="shared" si="5"/>
        <v>288.8530111</v>
      </c>
      <c r="T54" s="104">
        <f t="shared" si="6"/>
        <v>96.28433702</v>
      </c>
      <c r="U54" s="106">
        <v>385.13734809000005</v>
      </c>
      <c r="V54" s="106">
        <f t="shared" si="7"/>
        <v>154.0549392</v>
      </c>
      <c r="W54" s="107">
        <f t="shared" si="8"/>
        <v>20.99768822</v>
      </c>
      <c r="X54" s="108">
        <f t="shared" si="9"/>
        <v>406.1350363</v>
      </c>
      <c r="Y54" s="93">
        <f t="shared" si="10"/>
        <v>-0.00009718983233</v>
      </c>
      <c r="Z54" s="104">
        <f t="shared" si="11"/>
        <v>0</v>
      </c>
      <c r="AA54" s="104">
        <f t="shared" si="12"/>
        <v>0</v>
      </c>
      <c r="AB54" s="104">
        <f t="shared" si="13"/>
        <v>0</v>
      </c>
      <c r="AC54" s="104">
        <f t="shared" si="14"/>
        <v>0</v>
      </c>
      <c r="AD54" s="105">
        <f t="shared" si="15"/>
        <v>0</v>
      </c>
      <c r="AE54" s="109"/>
      <c r="AF54" s="109"/>
      <c r="AG54" s="109"/>
      <c r="AH54" s="104">
        <f t="shared" si="16"/>
        <v>0</v>
      </c>
      <c r="AI54" s="104">
        <f t="shared" si="17"/>
        <v>0</v>
      </c>
      <c r="AJ54" s="95"/>
      <c r="AK54" s="110">
        <f t="shared" si="18"/>
        <v>0</v>
      </c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ht="15.75" customHeight="1">
      <c r="A55" s="97" t="s">
        <v>183</v>
      </c>
      <c r="B55" s="98" t="s">
        <v>371</v>
      </c>
      <c r="C55" s="99"/>
      <c r="D55" s="100"/>
      <c r="E55" s="100"/>
      <c r="F55" s="102" t="s">
        <v>526</v>
      </c>
      <c r="G55" s="102" t="s">
        <v>527</v>
      </c>
      <c r="H55" s="103">
        <v>56.0</v>
      </c>
      <c r="I55" s="102" t="s">
        <v>184</v>
      </c>
      <c r="J55" s="102" t="s">
        <v>183</v>
      </c>
      <c r="K55" s="102" t="s">
        <v>45</v>
      </c>
      <c r="L55" s="102" t="s">
        <v>42</v>
      </c>
      <c r="M55" s="102" t="s">
        <v>118</v>
      </c>
      <c r="N55" s="87">
        <v>42.0</v>
      </c>
      <c r="O55" s="104">
        <f t="shared" si="1"/>
        <v>41.99725344</v>
      </c>
      <c r="P55" s="104">
        <f t="shared" si="2"/>
        <v>6.734764939</v>
      </c>
      <c r="Q55" s="104">
        <f t="shared" si="3"/>
        <v>48.73201838</v>
      </c>
      <c r="R55" s="104">
        <f t="shared" si="4"/>
        <v>1.507175826</v>
      </c>
      <c r="S55" s="105">
        <f t="shared" si="5"/>
        <v>50.2391942</v>
      </c>
      <c r="T55" s="104">
        <f t="shared" si="6"/>
        <v>16.74639807</v>
      </c>
      <c r="U55" s="118">
        <v>66.98559226864506</v>
      </c>
      <c r="V55" s="106">
        <f t="shared" si="7"/>
        <v>26.79423691</v>
      </c>
      <c r="W55" s="107">
        <f t="shared" si="8"/>
        <v>3.65205449</v>
      </c>
      <c r="X55" s="108">
        <f t="shared" si="9"/>
        <v>70.63764676</v>
      </c>
      <c r="Y55" s="93">
        <f t="shared" si="10"/>
        <v>0.002746564046</v>
      </c>
      <c r="Z55" s="104">
        <f t="shared" si="11"/>
        <v>0</v>
      </c>
      <c r="AA55" s="104">
        <f t="shared" si="12"/>
        <v>0</v>
      </c>
      <c r="AB55" s="104">
        <f t="shared" si="13"/>
        <v>0</v>
      </c>
      <c r="AC55" s="104">
        <f t="shared" si="14"/>
        <v>0</v>
      </c>
      <c r="AD55" s="105">
        <f t="shared" si="15"/>
        <v>0</v>
      </c>
      <c r="AE55" s="109"/>
      <c r="AF55" s="109"/>
      <c r="AG55" s="109"/>
      <c r="AH55" s="104">
        <f t="shared" si="16"/>
        <v>0</v>
      </c>
      <c r="AI55" s="104">
        <f t="shared" si="17"/>
        <v>0</v>
      </c>
      <c r="AJ55" s="95"/>
      <c r="AK55" s="110">
        <f t="shared" si="18"/>
        <v>0</v>
      </c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ht="15.75" customHeight="1">
      <c r="A56" s="97" t="s">
        <v>185</v>
      </c>
      <c r="B56" s="98" t="s">
        <v>371</v>
      </c>
      <c r="C56" s="99"/>
      <c r="D56" s="100"/>
      <c r="E56" s="100"/>
      <c r="F56" s="114"/>
      <c r="G56" s="102" t="s">
        <v>528</v>
      </c>
      <c r="H56" s="103">
        <v>112.0</v>
      </c>
      <c r="I56" s="102" t="s">
        <v>186</v>
      </c>
      <c r="J56" s="102" t="s">
        <v>185</v>
      </c>
      <c r="K56" s="102" t="s">
        <v>41</v>
      </c>
      <c r="L56" s="102" t="s">
        <v>42</v>
      </c>
      <c r="M56" s="123" t="s">
        <v>415</v>
      </c>
      <c r="N56" s="87">
        <v>199.20897315000002</v>
      </c>
      <c r="O56" s="111">
        <f t="shared" si="1"/>
        <v>199.2101115</v>
      </c>
      <c r="P56" s="104">
        <f t="shared" si="2"/>
        <v>31.94573847</v>
      </c>
      <c r="Q56" s="104">
        <f t="shared" si="3"/>
        <v>231.15585</v>
      </c>
      <c r="R56" s="104">
        <f t="shared" si="4"/>
        <v>7.14915</v>
      </c>
      <c r="S56" s="105">
        <f t="shared" si="5"/>
        <v>238.305</v>
      </c>
      <c r="T56" s="104">
        <f t="shared" si="6"/>
        <v>79.435</v>
      </c>
      <c r="U56" s="106">
        <v>317.74</v>
      </c>
      <c r="V56" s="106">
        <f t="shared" si="7"/>
        <v>127.096</v>
      </c>
      <c r="W56" s="107">
        <f t="shared" si="8"/>
        <v>17.3231848</v>
      </c>
      <c r="X56" s="108">
        <f t="shared" si="9"/>
        <v>335.0631848</v>
      </c>
      <c r="Y56" s="93">
        <f t="shared" si="10"/>
        <v>-0.00113838</v>
      </c>
      <c r="Z56" s="104">
        <f t="shared" si="11"/>
        <v>0</v>
      </c>
      <c r="AA56" s="104">
        <f t="shared" si="12"/>
        <v>0</v>
      </c>
      <c r="AB56" s="104">
        <f t="shared" si="13"/>
        <v>0</v>
      </c>
      <c r="AC56" s="104">
        <f t="shared" si="14"/>
        <v>0</v>
      </c>
      <c r="AD56" s="105">
        <f t="shared" si="15"/>
        <v>0</v>
      </c>
      <c r="AE56" s="109"/>
      <c r="AF56" s="109"/>
      <c r="AG56" s="109"/>
      <c r="AH56" s="104">
        <f t="shared" si="16"/>
        <v>0</v>
      </c>
      <c r="AI56" s="104">
        <f t="shared" si="17"/>
        <v>0</v>
      </c>
      <c r="AJ56" s="95"/>
      <c r="AK56" s="110">
        <f t="shared" si="18"/>
        <v>0</v>
      </c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ht="15.75" customHeight="1">
      <c r="A57" s="97" t="s">
        <v>187</v>
      </c>
      <c r="B57" s="98" t="s">
        <v>371</v>
      </c>
      <c r="C57" s="99"/>
      <c r="D57" s="100"/>
      <c r="E57" s="116" t="s">
        <v>372</v>
      </c>
      <c r="F57" s="102" t="s">
        <v>529</v>
      </c>
      <c r="G57" s="102" t="s">
        <v>530</v>
      </c>
      <c r="H57" s="103">
        <v>57.0</v>
      </c>
      <c r="I57" s="102" t="s">
        <v>188</v>
      </c>
      <c r="J57" s="102" t="s">
        <v>187</v>
      </c>
      <c r="K57" s="102" t="s">
        <v>531</v>
      </c>
      <c r="L57" s="102" t="s">
        <v>34</v>
      </c>
      <c r="M57" s="121" t="s">
        <v>415</v>
      </c>
      <c r="N57" s="87">
        <v>164.635515</v>
      </c>
      <c r="O57" s="104">
        <f t="shared" si="1"/>
        <v>164.6286999</v>
      </c>
      <c r="P57" s="104">
        <f t="shared" si="2"/>
        <v>26.40019301</v>
      </c>
      <c r="Q57" s="104">
        <f t="shared" si="3"/>
        <v>191.028893</v>
      </c>
      <c r="R57" s="104">
        <f t="shared" si="4"/>
        <v>5.908110091</v>
      </c>
      <c r="S57" s="105">
        <f t="shared" si="5"/>
        <v>196.937003</v>
      </c>
      <c r="T57" s="104">
        <f t="shared" si="6"/>
        <v>65.64566768</v>
      </c>
      <c r="U57" s="106">
        <v>262.582670724</v>
      </c>
      <c r="V57" s="106">
        <f t="shared" si="7"/>
        <v>105.0330683</v>
      </c>
      <c r="W57" s="107">
        <f t="shared" si="8"/>
        <v>14.31600721</v>
      </c>
      <c r="X57" s="108">
        <f t="shared" si="9"/>
        <v>276.8986779</v>
      </c>
      <c r="Y57" s="93">
        <f t="shared" si="10"/>
        <v>0.006815054216</v>
      </c>
      <c r="Z57" s="104">
        <f t="shared" si="11"/>
        <v>0</v>
      </c>
      <c r="AA57" s="104">
        <f t="shared" si="12"/>
        <v>0</v>
      </c>
      <c r="AB57" s="104">
        <f t="shared" si="13"/>
        <v>0</v>
      </c>
      <c r="AC57" s="104">
        <f t="shared" si="14"/>
        <v>0</v>
      </c>
      <c r="AD57" s="105">
        <f t="shared" si="15"/>
        <v>0</v>
      </c>
      <c r="AE57" s="109"/>
      <c r="AF57" s="109"/>
      <c r="AG57" s="109"/>
      <c r="AH57" s="104">
        <f t="shared" si="16"/>
        <v>0</v>
      </c>
      <c r="AI57" s="104">
        <f t="shared" si="17"/>
        <v>0</v>
      </c>
      <c r="AJ57" s="95"/>
      <c r="AK57" s="110">
        <f t="shared" si="18"/>
        <v>0</v>
      </c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ht="15.75" customHeight="1">
      <c r="A58" s="97" t="s">
        <v>190</v>
      </c>
      <c r="B58" s="98" t="s">
        <v>371</v>
      </c>
      <c r="C58" s="99"/>
      <c r="D58" s="100"/>
      <c r="E58" s="100"/>
      <c r="F58" s="102" t="s">
        <v>532</v>
      </c>
      <c r="G58" s="102" t="s">
        <v>533</v>
      </c>
      <c r="H58" s="103">
        <v>60.0</v>
      </c>
      <c r="I58" s="102" t="s">
        <v>191</v>
      </c>
      <c r="J58" s="102" t="s">
        <v>190</v>
      </c>
      <c r="K58" s="102" t="s">
        <v>534</v>
      </c>
      <c r="L58" s="102" t="s">
        <v>34</v>
      </c>
      <c r="M58" s="102" t="s">
        <v>35</v>
      </c>
      <c r="N58" s="87">
        <v>54.878505000000004</v>
      </c>
      <c r="O58" s="104">
        <f t="shared" si="1"/>
        <v>54.87852709</v>
      </c>
      <c r="P58" s="104">
        <f t="shared" si="2"/>
        <v>8.800432169</v>
      </c>
      <c r="Q58" s="104">
        <f t="shared" si="3"/>
        <v>63.67895926</v>
      </c>
      <c r="R58" s="104">
        <f t="shared" si="4"/>
        <v>1.969452348</v>
      </c>
      <c r="S58" s="105">
        <f t="shared" si="5"/>
        <v>65.64841161</v>
      </c>
      <c r="T58" s="104">
        <f t="shared" si="6"/>
        <v>21.88280387</v>
      </c>
      <c r="U58" s="106">
        <v>87.531215475</v>
      </c>
      <c r="V58" s="106">
        <f t="shared" si="7"/>
        <v>35.01248619</v>
      </c>
      <c r="W58" s="107">
        <f t="shared" si="8"/>
        <v>4.772201868</v>
      </c>
      <c r="X58" s="108">
        <f t="shared" si="9"/>
        <v>92.30341734</v>
      </c>
      <c r="Y58" s="93">
        <f t="shared" si="10"/>
        <v>-0.00002208859825</v>
      </c>
      <c r="Z58" s="104">
        <f t="shared" si="11"/>
        <v>0</v>
      </c>
      <c r="AA58" s="104">
        <f t="shared" si="12"/>
        <v>0</v>
      </c>
      <c r="AB58" s="104">
        <f t="shared" si="13"/>
        <v>0</v>
      </c>
      <c r="AC58" s="104">
        <f t="shared" si="14"/>
        <v>0</v>
      </c>
      <c r="AD58" s="105">
        <f t="shared" si="15"/>
        <v>0</v>
      </c>
      <c r="AE58" s="109"/>
      <c r="AF58" s="109"/>
      <c r="AG58" s="109"/>
      <c r="AH58" s="104">
        <f t="shared" si="16"/>
        <v>0</v>
      </c>
      <c r="AI58" s="104">
        <f t="shared" si="17"/>
        <v>0</v>
      </c>
      <c r="AJ58" s="95"/>
      <c r="AK58" s="110">
        <f t="shared" si="18"/>
        <v>0</v>
      </c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ht="15.75" customHeight="1">
      <c r="A59" s="97" t="s">
        <v>193</v>
      </c>
      <c r="B59" s="98" t="s">
        <v>371</v>
      </c>
      <c r="C59" s="119" t="s">
        <v>431</v>
      </c>
      <c r="D59" s="100"/>
      <c r="E59" s="100"/>
      <c r="F59" s="114"/>
      <c r="G59" s="102" t="s">
        <v>535</v>
      </c>
      <c r="H59" s="103">
        <v>116.0</v>
      </c>
      <c r="I59" s="102" t="s">
        <v>194</v>
      </c>
      <c r="J59" s="102" t="s">
        <v>536</v>
      </c>
      <c r="K59" s="102" t="s">
        <v>192</v>
      </c>
      <c r="L59" s="102" t="s">
        <v>66</v>
      </c>
      <c r="M59" s="124" t="s">
        <v>415</v>
      </c>
      <c r="N59" s="87">
        <v>307.319628</v>
      </c>
      <c r="O59" s="111">
        <f t="shared" si="1"/>
        <v>307.3230077</v>
      </c>
      <c r="P59" s="104">
        <f t="shared" si="2"/>
        <v>49.28294229</v>
      </c>
      <c r="Q59" s="104">
        <f t="shared" si="3"/>
        <v>356.60595</v>
      </c>
      <c r="R59" s="104">
        <f t="shared" si="4"/>
        <v>11.02905</v>
      </c>
      <c r="S59" s="105">
        <f t="shared" si="5"/>
        <v>367.635</v>
      </c>
      <c r="T59" s="104">
        <f t="shared" si="6"/>
        <v>122.545</v>
      </c>
      <c r="U59" s="106">
        <v>490.18</v>
      </c>
      <c r="V59" s="106">
        <f t="shared" si="7"/>
        <v>196.072</v>
      </c>
      <c r="W59" s="107">
        <f t="shared" si="8"/>
        <v>26.7246136</v>
      </c>
      <c r="X59" s="108">
        <f t="shared" si="9"/>
        <v>516.9046136</v>
      </c>
      <c r="Y59" s="93">
        <f t="shared" si="10"/>
        <v>-0.00337971</v>
      </c>
      <c r="Z59" s="104">
        <f t="shared" si="11"/>
        <v>0</v>
      </c>
      <c r="AA59" s="104">
        <f t="shared" si="12"/>
        <v>0</v>
      </c>
      <c r="AB59" s="104">
        <f t="shared" si="13"/>
        <v>0</v>
      </c>
      <c r="AC59" s="104">
        <f t="shared" si="14"/>
        <v>0</v>
      </c>
      <c r="AD59" s="105">
        <f t="shared" si="15"/>
        <v>0</v>
      </c>
      <c r="AE59" s="109"/>
      <c r="AF59" s="109"/>
      <c r="AG59" s="109"/>
      <c r="AH59" s="104">
        <f t="shared" si="16"/>
        <v>0</v>
      </c>
      <c r="AI59" s="104">
        <f t="shared" si="17"/>
        <v>0</v>
      </c>
      <c r="AJ59" s="95"/>
      <c r="AK59" s="110">
        <f t="shared" si="18"/>
        <v>0</v>
      </c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</row>
    <row r="60" ht="15.75" customHeight="1">
      <c r="A60" s="97" t="s">
        <v>196</v>
      </c>
      <c r="B60" s="98" t="s">
        <v>371</v>
      </c>
      <c r="C60" s="99"/>
      <c r="D60" s="100"/>
      <c r="E60" s="100"/>
      <c r="F60" s="102" t="s">
        <v>537</v>
      </c>
      <c r="G60" s="102" t="s">
        <v>538</v>
      </c>
      <c r="H60" s="103">
        <v>61.0</v>
      </c>
      <c r="I60" s="102" t="s">
        <v>197</v>
      </c>
      <c r="J60" s="102" t="s">
        <v>196</v>
      </c>
      <c r="K60" s="102" t="s">
        <v>375</v>
      </c>
      <c r="L60" s="102" t="s">
        <v>30</v>
      </c>
      <c r="M60" s="102" t="s">
        <v>195</v>
      </c>
      <c r="N60" s="87">
        <v>15.936717852000003</v>
      </c>
      <c r="O60" s="111">
        <f t="shared" si="1"/>
        <v>15.93731049</v>
      </c>
      <c r="P60" s="104">
        <f t="shared" si="2"/>
        <v>2.55573951</v>
      </c>
      <c r="Q60" s="104">
        <f t="shared" si="3"/>
        <v>18.49305</v>
      </c>
      <c r="R60" s="104">
        <f t="shared" si="4"/>
        <v>0.57195</v>
      </c>
      <c r="S60" s="105">
        <f t="shared" si="5"/>
        <v>19.065</v>
      </c>
      <c r="T60" s="104">
        <f t="shared" si="6"/>
        <v>6.355</v>
      </c>
      <c r="U60" s="106">
        <v>25.42</v>
      </c>
      <c r="V60" s="106">
        <f t="shared" si="7"/>
        <v>10.168</v>
      </c>
      <c r="W60" s="107">
        <f t="shared" si="8"/>
        <v>1.3858984</v>
      </c>
      <c r="X60" s="108">
        <f t="shared" si="9"/>
        <v>26.8058984</v>
      </c>
      <c r="Y60" s="93">
        <f t="shared" si="10"/>
        <v>-0.000592638</v>
      </c>
      <c r="Z60" s="104">
        <f t="shared" si="11"/>
        <v>0</v>
      </c>
      <c r="AA60" s="104">
        <f t="shared" si="12"/>
        <v>0</v>
      </c>
      <c r="AB60" s="104">
        <f t="shared" si="13"/>
        <v>0</v>
      </c>
      <c r="AC60" s="104">
        <f t="shared" si="14"/>
        <v>0</v>
      </c>
      <c r="AD60" s="105">
        <f t="shared" si="15"/>
        <v>0</v>
      </c>
      <c r="AE60" s="109"/>
      <c r="AF60" s="109"/>
      <c r="AG60" s="109"/>
      <c r="AH60" s="104">
        <f t="shared" si="16"/>
        <v>0</v>
      </c>
      <c r="AI60" s="104">
        <f t="shared" si="17"/>
        <v>0</v>
      </c>
      <c r="AJ60" s="95"/>
      <c r="AK60" s="110">
        <f t="shared" si="18"/>
        <v>0</v>
      </c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ht="15.75" customHeight="1">
      <c r="A61" s="97" t="s">
        <v>539</v>
      </c>
      <c r="B61" s="98" t="s">
        <v>371</v>
      </c>
      <c r="C61" s="119" t="s">
        <v>431</v>
      </c>
      <c r="D61" s="100"/>
      <c r="E61" s="100"/>
      <c r="F61" s="100"/>
      <c r="G61" s="102" t="s">
        <v>540</v>
      </c>
      <c r="H61" s="103">
        <v>124.0</v>
      </c>
      <c r="I61" s="102" t="s">
        <v>541</v>
      </c>
      <c r="J61" s="102" t="s">
        <v>539</v>
      </c>
      <c r="K61" s="125" t="s">
        <v>375</v>
      </c>
      <c r="L61" s="102" t="s">
        <v>30</v>
      </c>
      <c r="M61" s="123" t="s">
        <v>415</v>
      </c>
      <c r="N61" s="87">
        <v>26.2075</v>
      </c>
      <c r="O61" s="111">
        <f t="shared" si="1"/>
        <v>26.2069071</v>
      </c>
      <c r="P61" s="104">
        <f t="shared" si="2"/>
        <v>4.2025929</v>
      </c>
      <c r="Q61" s="104">
        <f t="shared" si="3"/>
        <v>30.4095</v>
      </c>
      <c r="R61" s="104">
        <f t="shared" si="4"/>
        <v>0.9405</v>
      </c>
      <c r="S61" s="105">
        <f t="shared" si="5"/>
        <v>31.35</v>
      </c>
      <c r="T61" s="104">
        <f t="shared" si="6"/>
        <v>10.45</v>
      </c>
      <c r="U61" s="106">
        <v>41.8</v>
      </c>
      <c r="V61" s="106">
        <f t="shared" si="7"/>
        <v>16.72</v>
      </c>
      <c r="W61" s="107">
        <f t="shared" si="8"/>
        <v>2.278936</v>
      </c>
      <c r="X61" s="108">
        <f t="shared" si="9"/>
        <v>44.078936</v>
      </c>
      <c r="Y61" s="93">
        <f t="shared" si="10"/>
        <v>0.0005929</v>
      </c>
      <c r="Z61" s="104">
        <f t="shared" si="11"/>
        <v>0</v>
      </c>
      <c r="AA61" s="104">
        <f t="shared" si="12"/>
        <v>0</v>
      </c>
      <c r="AB61" s="104">
        <f t="shared" si="13"/>
        <v>0</v>
      </c>
      <c r="AC61" s="104">
        <f t="shared" si="14"/>
        <v>0</v>
      </c>
      <c r="AD61" s="105">
        <f t="shared" si="15"/>
        <v>0</v>
      </c>
      <c r="AE61" s="109"/>
      <c r="AF61" s="109"/>
      <c r="AG61" s="109"/>
      <c r="AH61" s="104">
        <f t="shared" si="16"/>
        <v>0</v>
      </c>
      <c r="AI61" s="104">
        <f t="shared" si="17"/>
        <v>0</v>
      </c>
      <c r="AJ61" s="95"/>
      <c r="AK61" s="110">
        <f t="shared" si="18"/>
        <v>0</v>
      </c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ht="15.75" customHeight="1">
      <c r="A62" s="97" t="s">
        <v>542</v>
      </c>
      <c r="B62" s="98" t="s">
        <v>371</v>
      </c>
      <c r="C62" s="99"/>
      <c r="D62" s="100"/>
      <c r="E62" s="100"/>
      <c r="F62" s="102" t="s">
        <v>543</v>
      </c>
      <c r="G62" s="102" t="s">
        <v>544</v>
      </c>
      <c r="H62" s="103">
        <v>62.0</v>
      </c>
      <c r="I62" s="102" t="s">
        <v>200</v>
      </c>
      <c r="J62" s="102" t="s">
        <v>542</v>
      </c>
      <c r="K62" s="102" t="s">
        <v>76</v>
      </c>
      <c r="L62" s="102" t="s">
        <v>34</v>
      </c>
      <c r="M62" s="102" t="s">
        <v>35</v>
      </c>
      <c r="N62" s="87">
        <v>146.08658031000002</v>
      </c>
      <c r="O62" s="111">
        <f t="shared" si="1"/>
        <v>146.0878331</v>
      </c>
      <c r="P62" s="104">
        <f t="shared" si="2"/>
        <v>23.42694191</v>
      </c>
      <c r="Q62" s="104">
        <f t="shared" si="3"/>
        <v>169.514775</v>
      </c>
      <c r="R62" s="104">
        <f t="shared" si="4"/>
        <v>5.242725</v>
      </c>
      <c r="S62" s="105">
        <f t="shared" si="5"/>
        <v>174.7575</v>
      </c>
      <c r="T62" s="104">
        <f t="shared" si="6"/>
        <v>58.2525</v>
      </c>
      <c r="U62" s="106">
        <v>233.01</v>
      </c>
      <c r="V62" s="106">
        <f t="shared" si="7"/>
        <v>93.204</v>
      </c>
      <c r="W62" s="107">
        <f t="shared" si="8"/>
        <v>12.7037052</v>
      </c>
      <c r="X62" s="108">
        <f t="shared" si="9"/>
        <v>245.7137052</v>
      </c>
      <c r="Y62" s="93">
        <f t="shared" si="10"/>
        <v>-0.001252785</v>
      </c>
      <c r="Z62" s="104">
        <f t="shared" si="11"/>
        <v>0</v>
      </c>
      <c r="AA62" s="104">
        <f t="shared" si="12"/>
        <v>0</v>
      </c>
      <c r="AB62" s="104">
        <f t="shared" si="13"/>
        <v>0</v>
      </c>
      <c r="AC62" s="104">
        <f t="shared" si="14"/>
        <v>0</v>
      </c>
      <c r="AD62" s="105">
        <f t="shared" si="15"/>
        <v>0</v>
      </c>
      <c r="AE62" s="109"/>
      <c r="AF62" s="109"/>
      <c r="AG62" s="109"/>
      <c r="AH62" s="104">
        <f t="shared" si="16"/>
        <v>0</v>
      </c>
      <c r="AI62" s="104">
        <f t="shared" si="17"/>
        <v>0</v>
      </c>
      <c r="AJ62" s="95"/>
      <c r="AK62" s="110">
        <f t="shared" si="18"/>
        <v>0</v>
      </c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</row>
    <row r="63" ht="15.75" customHeight="1">
      <c r="A63" s="97" t="s">
        <v>545</v>
      </c>
      <c r="B63" s="98" t="s">
        <v>371</v>
      </c>
      <c r="C63" s="99"/>
      <c r="D63" s="100"/>
      <c r="E63" s="100"/>
      <c r="F63" s="102" t="s">
        <v>546</v>
      </c>
      <c r="G63" s="102" t="s">
        <v>547</v>
      </c>
      <c r="H63" s="103">
        <v>64.0</v>
      </c>
      <c r="I63" s="102" t="s">
        <v>204</v>
      </c>
      <c r="J63" s="102" t="s">
        <v>545</v>
      </c>
      <c r="K63" s="102" t="s">
        <v>76</v>
      </c>
      <c r="L63" s="102" t="s">
        <v>34</v>
      </c>
      <c r="M63" s="102" t="s">
        <v>35</v>
      </c>
      <c r="N63" s="87">
        <v>136.09</v>
      </c>
      <c r="O63" s="104">
        <f t="shared" si="1"/>
        <v>136.0878291</v>
      </c>
      <c r="P63" s="104">
        <f t="shared" si="2"/>
        <v>21.82332093</v>
      </c>
      <c r="Q63" s="104">
        <f t="shared" si="3"/>
        <v>157.91115</v>
      </c>
      <c r="R63" s="104">
        <f t="shared" si="4"/>
        <v>4.88385</v>
      </c>
      <c r="S63" s="105">
        <f t="shared" si="5"/>
        <v>162.795</v>
      </c>
      <c r="T63" s="104">
        <f t="shared" si="6"/>
        <v>54.265</v>
      </c>
      <c r="U63" s="118">
        <v>217.06</v>
      </c>
      <c r="V63" s="106">
        <f t="shared" si="7"/>
        <v>86.824</v>
      </c>
      <c r="W63" s="107">
        <f t="shared" si="8"/>
        <v>11.8341112</v>
      </c>
      <c r="X63" s="108">
        <f t="shared" si="9"/>
        <v>228.8941112</v>
      </c>
      <c r="Y63" s="93">
        <f t="shared" si="10"/>
        <v>0.00217093</v>
      </c>
      <c r="Z63" s="104">
        <f t="shared" si="11"/>
        <v>0</v>
      </c>
      <c r="AA63" s="104">
        <f t="shared" si="12"/>
        <v>0</v>
      </c>
      <c r="AB63" s="104">
        <f t="shared" si="13"/>
        <v>0</v>
      </c>
      <c r="AC63" s="104">
        <f t="shared" si="14"/>
        <v>0</v>
      </c>
      <c r="AD63" s="105">
        <f t="shared" si="15"/>
        <v>0</v>
      </c>
      <c r="AE63" s="109"/>
      <c r="AF63" s="109"/>
      <c r="AG63" s="109"/>
      <c r="AH63" s="104">
        <f t="shared" si="16"/>
        <v>0</v>
      </c>
      <c r="AI63" s="104">
        <f t="shared" si="17"/>
        <v>0</v>
      </c>
      <c r="AJ63" s="95"/>
      <c r="AK63" s="110">
        <f t="shared" si="18"/>
        <v>0</v>
      </c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ht="15.75" customHeight="1">
      <c r="A64" s="97" t="s">
        <v>548</v>
      </c>
      <c r="B64" s="98" t="s">
        <v>371</v>
      </c>
      <c r="C64" s="99"/>
      <c r="D64" s="100"/>
      <c r="E64" s="100"/>
      <c r="F64" s="102" t="s">
        <v>549</v>
      </c>
      <c r="G64" s="102" t="s">
        <v>550</v>
      </c>
      <c r="H64" s="103">
        <v>65.0</v>
      </c>
      <c r="I64" s="102" t="s">
        <v>206</v>
      </c>
      <c r="J64" s="102" t="s">
        <v>548</v>
      </c>
      <c r="K64" s="102" t="s">
        <v>76</v>
      </c>
      <c r="L64" s="102" t="s">
        <v>34</v>
      </c>
      <c r="M64" s="121" t="s">
        <v>415</v>
      </c>
      <c r="N64" s="87">
        <v>146.08658031000002</v>
      </c>
      <c r="O64" s="111">
        <f t="shared" si="1"/>
        <v>146.0878331</v>
      </c>
      <c r="P64" s="104">
        <f t="shared" si="2"/>
        <v>23.42694191</v>
      </c>
      <c r="Q64" s="104">
        <f t="shared" si="3"/>
        <v>169.514775</v>
      </c>
      <c r="R64" s="104">
        <f t="shared" si="4"/>
        <v>5.242725</v>
      </c>
      <c r="S64" s="105">
        <f t="shared" si="5"/>
        <v>174.7575</v>
      </c>
      <c r="T64" s="104">
        <f t="shared" si="6"/>
        <v>58.2525</v>
      </c>
      <c r="U64" s="106">
        <v>233.01</v>
      </c>
      <c r="V64" s="106">
        <f t="shared" si="7"/>
        <v>93.204</v>
      </c>
      <c r="W64" s="107">
        <f t="shared" si="8"/>
        <v>12.7037052</v>
      </c>
      <c r="X64" s="108">
        <f t="shared" si="9"/>
        <v>245.7137052</v>
      </c>
      <c r="Y64" s="93">
        <f t="shared" si="10"/>
        <v>-0.001252785</v>
      </c>
      <c r="Z64" s="104">
        <f t="shared" si="11"/>
        <v>0</v>
      </c>
      <c r="AA64" s="104">
        <f t="shared" si="12"/>
        <v>0</v>
      </c>
      <c r="AB64" s="104">
        <f t="shared" si="13"/>
        <v>0</v>
      </c>
      <c r="AC64" s="104">
        <f t="shared" si="14"/>
        <v>0</v>
      </c>
      <c r="AD64" s="105">
        <f t="shared" si="15"/>
        <v>0</v>
      </c>
      <c r="AE64" s="109"/>
      <c r="AF64" s="109"/>
      <c r="AG64" s="109"/>
      <c r="AH64" s="104">
        <f t="shared" si="16"/>
        <v>0</v>
      </c>
      <c r="AI64" s="104">
        <f t="shared" si="17"/>
        <v>0</v>
      </c>
      <c r="AJ64" s="95"/>
      <c r="AK64" s="110">
        <f t="shared" si="18"/>
        <v>0</v>
      </c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ht="15.75" customHeight="1">
      <c r="A65" s="97" t="s">
        <v>207</v>
      </c>
      <c r="B65" s="98" t="s">
        <v>371</v>
      </c>
      <c r="C65" s="99"/>
      <c r="D65" s="100"/>
      <c r="E65" s="114"/>
      <c r="F65" s="102" t="s">
        <v>551</v>
      </c>
      <c r="G65" s="102" t="s">
        <v>552</v>
      </c>
      <c r="H65" s="103">
        <v>66.0</v>
      </c>
      <c r="I65" s="102" t="s">
        <v>208</v>
      </c>
      <c r="J65" s="102" t="s">
        <v>207</v>
      </c>
      <c r="K65" s="102" t="s">
        <v>45</v>
      </c>
      <c r="L65" s="102" t="s">
        <v>34</v>
      </c>
      <c r="M65" s="102" t="s">
        <v>57</v>
      </c>
      <c r="N65" s="87">
        <v>39.84179463</v>
      </c>
      <c r="O65" s="111">
        <f t="shared" si="1"/>
        <v>39.84284286</v>
      </c>
      <c r="P65" s="104">
        <f t="shared" si="2"/>
        <v>6.38927928</v>
      </c>
      <c r="Q65" s="104">
        <f t="shared" si="3"/>
        <v>46.23212214</v>
      </c>
      <c r="R65" s="104">
        <f t="shared" si="4"/>
        <v>1.429859448</v>
      </c>
      <c r="S65" s="105">
        <f t="shared" si="5"/>
        <v>47.66198159</v>
      </c>
      <c r="T65" s="104">
        <f t="shared" si="6"/>
        <v>15.8873272</v>
      </c>
      <c r="U65" s="106">
        <v>63.54930879</v>
      </c>
      <c r="V65" s="106">
        <f t="shared" si="7"/>
        <v>25.41972352</v>
      </c>
      <c r="W65" s="107">
        <f t="shared" si="8"/>
        <v>3.464708315</v>
      </c>
      <c r="X65" s="108">
        <f t="shared" si="9"/>
        <v>67.01401711</v>
      </c>
      <c r="Y65" s="93">
        <f t="shared" si="10"/>
        <v>-0.001048234324</v>
      </c>
      <c r="Z65" s="104">
        <f t="shared" si="11"/>
        <v>0</v>
      </c>
      <c r="AA65" s="104">
        <f t="shared" si="12"/>
        <v>0</v>
      </c>
      <c r="AB65" s="104">
        <f t="shared" si="13"/>
        <v>0</v>
      </c>
      <c r="AC65" s="104">
        <f t="shared" si="14"/>
        <v>0</v>
      </c>
      <c r="AD65" s="105">
        <f t="shared" si="15"/>
        <v>0</v>
      </c>
      <c r="AE65" s="109"/>
      <c r="AF65" s="109"/>
      <c r="AG65" s="109"/>
      <c r="AH65" s="104">
        <f t="shared" si="16"/>
        <v>0</v>
      </c>
      <c r="AI65" s="104">
        <f t="shared" si="17"/>
        <v>0</v>
      </c>
      <c r="AJ65" s="95"/>
      <c r="AK65" s="110">
        <f t="shared" si="18"/>
        <v>0</v>
      </c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ht="15.75" customHeight="1">
      <c r="A66" s="97" t="s">
        <v>553</v>
      </c>
      <c r="B66" s="98" t="s">
        <v>371</v>
      </c>
      <c r="C66" s="99"/>
      <c r="D66" s="100"/>
      <c r="E66" s="100"/>
      <c r="F66" s="102" t="s">
        <v>554</v>
      </c>
      <c r="G66" s="102" t="s">
        <v>555</v>
      </c>
      <c r="H66" s="103">
        <v>67.0</v>
      </c>
      <c r="I66" s="102" t="s">
        <v>211</v>
      </c>
      <c r="J66" s="102" t="s">
        <v>553</v>
      </c>
      <c r="K66" s="102" t="s">
        <v>45</v>
      </c>
      <c r="L66" s="102" t="s">
        <v>34</v>
      </c>
      <c r="M66" s="102" t="s">
        <v>209</v>
      </c>
      <c r="N66" s="87">
        <v>43.902804</v>
      </c>
      <c r="O66" s="104">
        <f t="shared" si="1"/>
        <v>43.90282167</v>
      </c>
      <c r="P66" s="104">
        <f t="shared" si="2"/>
        <v>7.040345736</v>
      </c>
      <c r="Q66" s="104">
        <f t="shared" si="3"/>
        <v>50.94316741</v>
      </c>
      <c r="R66" s="104">
        <f t="shared" si="4"/>
        <v>1.575561879</v>
      </c>
      <c r="S66" s="105">
        <f t="shared" si="5"/>
        <v>52.51872929</v>
      </c>
      <c r="T66" s="104">
        <f t="shared" si="6"/>
        <v>17.5062431</v>
      </c>
      <c r="U66" s="106">
        <v>70.02497238</v>
      </c>
      <c r="V66" s="106">
        <f t="shared" si="7"/>
        <v>28.00998895</v>
      </c>
      <c r="W66" s="107">
        <f t="shared" si="8"/>
        <v>3.817761494</v>
      </c>
      <c r="X66" s="108">
        <f t="shared" si="9"/>
        <v>73.84273387</v>
      </c>
      <c r="Y66" s="93">
        <f t="shared" si="10"/>
        <v>-0.00001767087861</v>
      </c>
      <c r="Z66" s="104">
        <f t="shared" si="11"/>
        <v>0</v>
      </c>
      <c r="AA66" s="104">
        <f t="shared" si="12"/>
        <v>0</v>
      </c>
      <c r="AB66" s="104">
        <f t="shared" si="13"/>
        <v>0</v>
      </c>
      <c r="AC66" s="104">
        <f t="shared" si="14"/>
        <v>0</v>
      </c>
      <c r="AD66" s="105">
        <f t="shared" si="15"/>
        <v>0</v>
      </c>
      <c r="AE66" s="109"/>
      <c r="AF66" s="109"/>
      <c r="AG66" s="109"/>
      <c r="AH66" s="104">
        <f t="shared" si="16"/>
        <v>0</v>
      </c>
      <c r="AI66" s="104">
        <f t="shared" si="17"/>
        <v>0</v>
      </c>
      <c r="AJ66" s="95"/>
      <c r="AK66" s="110">
        <f t="shared" si="18"/>
        <v>0</v>
      </c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ht="15.75" customHeight="1">
      <c r="A67" s="97" t="s">
        <v>556</v>
      </c>
      <c r="B67" s="98" t="s">
        <v>371</v>
      </c>
      <c r="C67" s="99"/>
      <c r="D67" s="100"/>
      <c r="E67" s="101"/>
      <c r="F67" s="101"/>
      <c r="G67" s="102" t="s">
        <v>540</v>
      </c>
      <c r="H67" s="103">
        <v>137.0</v>
      </c>
      <c r="I67" s="126" t="s">
        <v>557</v>
      </c>
      <c r="J67" s="102" t="s">
        <v>556</v>
      </c>
      <c r="K67" s="117" t="s">
        <v>45</v>
      </c>
      <c r="L67" s="102" t="s">
        <v>34</v>
      </c>
      <c r="M67" s="117" t="s">
        <v>415</v>
      </c>
      <c r="N67" s="87">
        <v>76.829907</v>
      </c>
      <c r="O67" s="104">
        <f t="shared" si="1"/>
        <v>76.82497575</v>
      </c>
      <c r="P67" s="104">
        <f t="shared" si="2"/>
        <v>12.31980929</v>
      </c>
      <c r="Q67" s="104">
        <f t="shared" si="3"/>
        <v>89.14478504</v>
      </c>
      <c r="R67" s="104">
        <f t="shared" si="4"/>
        <v>2.757055208</v>
      </c>
      <c r="S67" s="105">
        <f t="shared" si="5"/>
        <v>91.90184025</v>
      </c>
      <c r="T67" s="104">
        <f t="shared" si="6"/>
        <v>30.63394675</v>
      </c>
      <c r="U67" s="106">
        <v>122.535787</v>
      </c>
      <c r="V67" s="106">
        <f t="shared" si="7"/>
        <v>49.0143148</v>
      </c>
      <c r="W67" s="107">
        <f t="shared" si="8"/>
        <v>6.680651107</v>
      </c>
      <c r="X67" s="108">
        <f t="shared" si="9"/>
        <v>129.2164381</v>
      </c>
      <c r="Y67" s="93">
        <f t="shared" si="10"/>
        <v>0.004931250374</v>
      </c>
      <c r="Z67" s="104">
        <f t="shared" si="11"/>
        <v>0</v>
      </c>
      <c r="AA67" s="104">
        <f t="shared" si="12"/>
        <v>0</v>
      </c>
      <c r="AB67" s="104">
        <f t="shared" si="13"/>
        <v>0</v>
      </c>
      <c r="AC67" s="104">
        <f t="shared" si="14"/>
        <v>0</v>
      </c>
      <c r="AD67" s="105">
        <f t="shared" si="15"/>
        <v>0</v>
      </c>
      <c r="AE67" s="109"/>
      <c r="AF67" s="109"/>
      <c r="AG67" s="109"/>
      <c r="AH67" s="104">
        <f t="shared" si="16"/>
        <v>0</v>
      </c>
      <c r="AI67" s="104">
        <f t="shared" si="17"/>
        <v>0</v>
      </c>
      <c r="AJ67" s="95"/>
      <c r="AK67" s="110">
        <f t="shared" si="18"/>
        <v>0</v>
      </c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ht="15.75" customHeight="1">
      <c r="A68" s="97" t="s">
        <v>558</v>
      </c>
      <c r="B68" s="98" t="s">
        <v>371</v>
      </c>
      <c r="C68" s="99"/>
      <c r="D68" s="100"/>
      <c r="E68" s="100"/>
      <c r="F68" s="102" t="s">
        <v>559</v>
      </c>
      <c r="G68" s="102" t="s">
        <v>560</v>
      </c>
      <c r="H68" s="103">
        <v>68.0</v>
      </c>
      <c r="I68" s="102" t="s">
        <v>213</v>
      </c>
      <c r="J68" s="102" t="s">
        <v>558</v>
      </c>
      <c r="K68" s="102" t="s">
        <v>45</v>
      </c>
      <c r="L68" s="102" t="s">
        <v>34</v>
      </c>
      <c r="M68" s="102" t="s">
        <v>209</v>
      </c>
      <c r="N68" s="87">
        <v>60.3663555</v>
      </c>
      <c r="O68" s="113">
        <f t="shared" si="1"/>
        <v>60.36293914</v>
      </c>
      <c r="P68" s="104">
        <f t="shared" si="2"/>
        <v>9.679923635</v>
      </c>
      <c r="Q68" s="104">
        <f t="shared" si="3"/>
        <v>70.04286277</v>
      </c>
      <c r="R68" s="104">
        <f t="shared" si="4"/>
        <v>2.166274106</v>
      </c>
      <c r="S68" s="105">
        <f t="shared" si="5"/>
        <v>72.20913688</v>
      </c>
      <c r="T68" s="104">
        <f t="shared" si="6"/>
        <v>24.06971229</v>
      </c>
      <c r="U68" s="106">
        <v>96.278849172</v>
      </c>
      <c r="V68" s="106">
        <f t="shared" si="7"/>
        <v>38.51153967</v>
      </c>
      <c r="W68" s="107">
        <f t="shared" si="8"/>
        <v>5.249122857</v>
      </c>
      <c r="X68" s="108">
        <f t="shared" si="9"/>
        <v>101.527972</v>
      </c>
      <c r="Y68" s="93">
        <f t="shared" si="10"/>
        <v>0.003416362547</v>
      </c>
      <c r="Z68" s="104">
        <f t="shared" si="11"/>
        <v>0</v>
      </c>
      <c r="AA68" s="104">
        <f t="shared" si="12"/>
        <v>0</v>
      </c>
      <c r="AB68" s="104">
        <f t="shared" si="13"/>
        <v>0</v>
      </c>
      <c r="AC68" s="104">
        <f t="shared" si="14"/>
        <v>0</v>
      </c>
      <c r="AD68" s="105">
        <f t="shared" si="15"/>
        <v>0</v>
      </c>
      <c r="AE68" s="109"/>
      <c r="AF68" s="109"/>
      <c r="AG68" s="109"/>
      <c r="AH68" s="104">
        <f t="shared" si="16"/>
        <v>0</v>
      </c>
      <c r="AI68" s="104">
        <f t="shared" si="17"/>
        <v>0</v>
      </c>
      <c r="AJ68" s="95"/>
      <c r="AK68" s="110">
        <f t="shared" si="18"/>
        <v>0</v>
      </c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</row>
    <row r="69" ht="15.75" customHeight="1">
      <c r="A69" s="97" t="s">
        <v>215</v>
      </c>
      <c r="B69" s="98" t="s">
        <v>371</v>
      </c>
      <c r="C69" s="99"/>
      <c r="D69" s="100"/>
      <c r="E69" s="100"/>
      <c r="F69" s="102" t="s">
        <v>561</v>
      </c>
      <c r="G69" s="102" t="s">
        <v>562</v>
      </c>
      <c r="H69" s="103">
        <v>69.0</v>
      </c>
      <c r="I69" s="102" t="s">
        <v>216</v>
      </c>
      <c r="J69" s="102" t="s">
        <v>215</v>
      </c>
      <c r="K69" s="102" t="s">
        <v>214</v>
      </c>
      <c r="L69" s="102" t="s">
        <v>34</v>
      </c>
      <c r="M69" s="121" t="s">
        <v>415</v>
      </c>
      <c r="N69" s="87">
        <v>329.27103</v>
      </c>
      <c r="O69" s="111">
        <f t="shared" si="1"/>
        <v>329.2728598</v>
      </c>
      <c r="P69" s="104">
        <f t="shared" si="2"/>
        <v>52.8028652</v>
      </c>
      <c r="Q69" s="104">
        <f t="shared" si="3"/>
        <v>382.075725</v>
      </c>
      <c r="R69" s="104">
        <f t="shared" si="4"/>
        <v>11.816775</v>
      </c>
      <c r="S69" s="105">
        <f t="shared" si="5"/>
        <v>393.8925</v>
      </c>
      <c r="T69" s="104">
        <f t="shared" si="6"/>
        <v>131.2975</v>
      </c>
      <c r="U69" s="106">
        <v>525.19</v>
      </c>
      <c r="V69" s="106">
        <f t="shared" si="7"/>
        <v>210.076</v>
      </c>
      <c r="W69" s="107">
        <f t="shared" si="8"/>
        <v>28.6333588</v>
      </c>
      <c r="X69" s="108">
        <f t="shared" si="9"/>
        <v>553.8233588</v>
      </c>
      <c r="Y69" s="93">
        <f t="shared" si="10"/>
        <v>-0.001829805</v>
      </c>
      <c r="Z69" s="104">
        <f t="shared" si="11"/>
        <v>0</v>
      </c>
      <c r="AA69" s="104">
        <f t="shared" si="12"/>
        <v>0</v>
      </c>
      <c r="AB69" s="104">
        <f t="shared" si="13"/>
        <v>0</v>
      </c>
      <c r="AC69" s="104">
        <f t="shared" si="14"/>
        <v>0</v>
      </c>
      <c r="AD69" s="105">
        <f t="shared" si="15"/>
        <v>0</v>
      </c>
      <c r="AE69" s="109"/>
      <c r="AF69" s="109"/>
      <c r="AG69" s="109"/>
      <c r="AH69" s="104">
        <f t="shared" si="16"/>
        <v>0</v>
      </c>
      <c r="AI69" s="104">
        <f t="shared" si="17"/>
        <v>0</v>
      </c>
      <c r="AJ69" s="95"/>
      <c r="AK69" s="110">
        <f t="shared" si="18"/>
        <v>0</v>
      </c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ht="15.75" customHeight="1">
      <c r="A70" s="97" t="s">
        <v>222</v>
      </c>
      <c r="B70" s="98" t="s">
        <v>371</v>
      </c>
      <c r="C70" s="99"/>
      <c r="D70" s="100"/>
      <c r="E70" s="100"/>
      <c r="F70" s="102" t="s">
        <v>563</v>
      </c>
      <c r="G70" s="102" t="s">
        <v>564</v>
      </c>
      <c r="H70" s="103">
        <v>72.0</v>
      </c>
      <c r="I70" s="98" t="s">
        <v>223</v>
      </c>
      <c r="J70" s="102" t="s">
        <v>222</v>
      </c>
      <c r="K70" s="102" t="s">
        <v>220</v>
      </c>
      <c r="L70" s="102" t="s">
        <v>66</v>
      </c>
      <c r="M70" s="102" t="s">
        <v>221</v>
      </c>
      <c r="N70" s="87">
        <v>160.0</v>
      </c>
      <c r="O70" s="104">
        <f t="shared" si="1"/>
        <v>160.0000644</v>
      </c>
      <c r="P70" s="104">
        <f t="shared" si="2"/>
        <v>25.6579356</v>
      </c>
      <c r="Q70" s="104">
        <f t="shared" si="3"/>
        <v>185.658</v>
      </c>
      <c r="R70" s="104">
        <f t="shared" si="4"/>
        <v>5.742</v>
      </c>
      <c r="S70" s="105">
        <f t="shared" si="5"/>
        <v>191.4</v>
      </c>
      <c r="T70" s="104">
        <f t="shared" si="6"/>
        <v>63.8</v>
      </c>
      <c r="U70" s="118">
        <v>255.2</v>
      </c>
      <c r="V70" s="106">
        <f t="shared" si="7"/>
        <v>102.08</v>
      </c>
      <c r="W70" s="107">
        <f t="shared" si="8"/>
        <v>13.913504</v>
      </c>
      <c r="X70" s="108">
        <f t="shared" si="9"/>
        <v>269.113504</v>
      </c>
      <c r="Y70" s="93">
        <f t="shared" si="10"/>
        <v>-0.00006439999999</v>
      </c>
      <c r="Z70" s="104">
        <f t="shared" si="11"/>
        <v>0</v>
      </c>
      <c r="AA70" s="104">
        <f t="shared" si="12"/>
        <v>0</v>
      </c>
      <c r="AB70" s="104">
        <f t="shared" si="13"/>
        <v>0</v>
      </c>
      <c r="AC70" s="104">
        <f t="shared" si="14"/>
        <v>0</v>
      </c>
      <c r="AD70" s="105">
        <f t="shared" si="15"/>
        <v>0</v>
      </c>
      <c r="AE70" s="109"/>
      <c r="AF70" s="109"/>
      <c r="AG70" s="109"/>
      <c r="AH70" s="104">
        <f t="shared" si="16"/>
        <v>0</v>
      </c>
      <c r="AI70" s="104">
        <f t="shared" si="17"/>
        <v>0</v>
      </c>
      <c r="AJ70" s="95"/>
      <c r="AK70" s="110">
        <f t="shared" si="18"/>
        <v>0</v>
      </c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ht="15.75" customHeight="1">
      <c r="A71" s="97" t="s">
        <v>224</v>
      </c>
      <c r="B71" s="98" t="s">
        <v>371</v>
      </c>
      <c r="C71" s="99"/>
      <c r="D71" s="100"/>
      <c r="E71" s="100"/>
      <c r="F71" s="102" t="s">
        <v>565</v>
      </c>
      <c r="G71" s="102" t="s">
        <v>566</v>
      </c>
      <c r="H71" s="103">
        <v>73.0</v>
      </c>
      <c r="I71" s="102" t="s">
        <v>225</v>
      </c>
      <c r="J71" s="102" t="s">
        <v>224</v>
      </c>
      <c r="K71" s="102" t="s">
        <v>41</v>
      </c>
      <c r="L71" s="102" t="s">
        <v>94</v>
      </c>
      <c r="M71" s="102" t="s">
        <v>60</v>
      </c>
      <c r="N71" s="87">
        <v>199.20897315000002</v>
      </c>
      <c r="O71" s="111">
        <f t="shared" si="1"/>
        <v>199.2101115</v>
      </c>
      <c r="P71" s="104">
        <f t="shared" si="2"/>
        <v>31.94573847</v>
      </c>
      <c r="Q71" s="104">
        <f t="shared" si="3"/>
        <v>231.15585</v>
      </c>
      <c r="R71" s="104">
        <f t="shared" si="4"/>
        <v>7.14915</v>
      </c>
      <c r="S71" s="105">
        <f t="shared" si="5"/>
        <v>238.305</v>
      </c>
      <c r="T71" s="104">
        <f t="shared" si="6"/>
        <v>79.435</v>
      </c>
      <c r="U71" s="106">
        <v>317.74</v>
      </c>
      <c r="V71" s="106">
        <f t="shared" si="7"/>
        <v>127.096</v>
      </c>
      <c r="W71" s="107">
        <f t="shared" si="8"/>
        <v>17.3231848</v>
      </c>
      <c r="X71" s="108">
        <f t="shared" si="9"/>
        <v>335.0631848</v>
      </c>
      <c r="Y71" s="93">
        <f t="shared" si="10"/>
        <v>-0.00113838</v>
      </c>
      <c r="Z71" s="104">
        <f t="shared" si="11"/>
        <v>0</v>
      </c>
      <c r="AA71" s="104">
        <f t="shared" si="12"/>
        <v>0</v>
      </c>
      <c r="AB71" s="104">
        <f t="shared" si="13"/>
        <v>0</v>
      </c>
      <c r="AC71" s="104">
        <f t="shared" si="14"/>
        <v>0</v>
      </c>
      <c r="AD71" s="105">
        <f t="shared" si="15"/>
        <v>0</v>
      </c>
      <c r="AE71" s="109"/>
      <c r="AF71" s="109"/>
      <c r="AG71" s="109"/>
      <c r="AH71" s="104">
        <f t="shared" si="16"/>
        <v>0</v>
      </c>
      <c r="AI71" s="104">
        <f t="shared" si="17"/>
        <v>0</v>
      </c>
      <c r="AJ71" s="95"/>
      <c r="AK71" s="110">
        <f t="shared" si="18"/>
        <v>0</v>
      </c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ht="15.75" customHeight="1">
      <c r="A72" s="97" t="s">
        <v>567</v>
      </c>
      <c r="B72" s="98" t="s">
        <v>371</v>
      </c>
      <c r="C72" s="99"/>
      <c r="D72" s="100"/>
      <c r="E72" s="100"/>
      <c r="F72" s="102" t="s">
        <v>565</v>
      </c>
      <c r="G72" s="102" t="s">
        <v>566</v>
      </c>
      <c r="H72" s="103" t="s">
        <v>568</v>
      </c>
      <c r="I72" s="102" t="s">
        <v>569</v>
      </c>
      <c r="J72" s="102" t="s">
        <v>224</v>
      </c>
      <c r="K72" s="102" t="s">
        <v>41</v>
      </c>
      <c r="L72" s="102" t="s">
        <v>94</v>
      </c>
      <c r="M72" s="102" t="s">
        <v>60</v>
      </c>
      <c r="N72" s="87">
        <v>199.20897315000002</v>
      </c>
      <c r="O72" s="111">
        <f t="shared" si="1"/>
        <v>199.2101115</v>
      </c>
      <c r="P72" s="104">
        <f t="shared" si="2"/>
        <v>31.94573847</v>
      </c>
      <c r="Q72" s="104">
        <f t="shared" si="3"/>
        <v>231.15585</v>
      </c>
      <c r="R72" s="104">
        <f t="shared" si="4"/>
        <v>7.14915</v>
      </c>
      <c r="S72" s="105">
        <f t="shared" si="5"/>
        <v>238.305</v>
      </c>
      <c r="T72" s="104">
        <f t="shared" si="6"/>
        <v>79.435</v>
      </c>
      <c r="U72" s="106">
        <v>317.74</v>
      </c>
      <c r="V72" s="106">
        <f t="shared" si="7"/>
        <v>127.096</v>
      </c>
      <c r="W72" s="107">
        <f t="shared" si="8"/>
        <v>17.3231848</v>
      </c>
      <c r="X72" s="108">
        <f t="shared" si="9"/>
        <v>335.0631848</v>
      </c>
      <c r="Y72" s="93">
        <f t="shared" si="10"/>
        <v>-0.00113838</v>
      </c>
      <c r="Z72" s="104">
        <f t="shared" si="11"/>
        <v>0</v>
      </c>
      <c r="AA72" s="104">
        <f t="shared" si="12"/>
        <v>0</v>
      </c>
      <c r="AB72" s="104">
        <f t="shared" si="13"/>
        <v>0</v>
      </c>
      <c r="AC72" s="104">
        <f t="shared" si="14"/>
        <v>0</v>
      </c>
      <c r="AD72" s="105">
        <f t="shared" si="15"/>
        <v>0</v>
      </c>
      <c r="AE72" s="109"/>
      <c r="AF72" s="109"/>
      <c r="AG72" s="109"/>
      <c r="AH72" s="104">
        <f t="shared" si="16"/>
        <v>0</v>
      </c>
      <c r="AI72" s="104">
        <f t="shared" si="17"/>
        <v>0</v>
      </c>
      <c r="AJ72" s="95"/>
      <c r="AK72" s="110">
        <f t="shared" si="18"/>
        <v>0</v>
      </c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</row>
    <row r="73" ht="15.75" customHeight="1">
      <c r="A73" s="97" t="s">
        <v>570</v>
      </c>
      <c r="B73" s="98" t="s">
        <v>371</v>
      </c>
      <c r="C73" s="99"/>
      <c r="D73" s="100"/>
      <c r="E73" s="100"/>
      <c r="F73" s="102" t="s">
        <v>571</v>
      </c>
      <c r="G73" s="102" t="s">
        <v>572</v>
      </c>
      <c r="H73" s="103">
        <v>74.0</v>
      </c>
      <c r="I73" s="102" t="s">
        <v>228</v>
      </c>
      <c r="J73" s="102" t="s">
        <v>570</v>
      </c>
      <c r="K73" s="102" t="s">
        <v>226</v>
      </c>
      <c r="L73" s="112" t="s">
        <v>34</v>
      </c>
      <c r="M73" s="121" t="s">
        <v>415</v>
      </c>
      <c r="N73" s="87">
        <v>109.75701000000001</v>
      </c>
      <c r="O73" s="104">
        <f t="shared" si="1"/>
        <v>109.7501729</v>
      </c>
      <c r="P73" s="104">
        <f t="shared" si="2"/>
        <v>17.59976084</v>
      </c>
      <c r="Q73" s="104">
        <f t="shared" si="3"/>
        <v>127.3499337</v>
      </c>
      <c r="R73" s="104">
        <f t="shared" si="4"/>
        <v>3.938657743</v>
      </c>
      <c r="S73" s="105">
        <f t="shared" si="5"/>
        <v>131.2885914</v>
      </c>
      <c r="T73" s="104">
        <f t="shared" si="6"/>
        <v>43.76286381</v>
      </c>
      <c r="U73" s="106">
        <v>175.051455249</v>
      </c>
      <c r="V73" s="106">
        <f t="shared" si="7"/>
        <v>70.0205821</v>
      </c>
      <c r="W73" s="107">
        <f t="shared" si="8"/>
        <v>9.54380534</v>
      </c>
      <c r="X73" s="108">
        <f t="shared" si="9"/>
        <v>184.5952606</v>
      </c>
      <c r="Y73" s="93">
        <f t="shared" si="10"/>
        <v>0.006837142815</v>
      </c>
      <c r="Z73" s="104">
        <f t="shared" si="11"/>
        <v>0</v>
      </c>
      <c r="AA73" s="104">
        <f t="shared" si="12"/>
        <v>0</v>
      </c>
      <c r="AB73" s="104">
        <f t="shared" si="13"/>
        <v>0</v>
      </c>
      <c r="AC73" s="104">
        <f t="shared" si="14"/>
        <v>0</v>
      </c>
      <c r="AD73" s="105">
        <f t="shared" si="15"/>
        <v>0</v>
      </c>
      <c r="AE73" s="109"/>
      <c r="AF73" s="109"/>
      <c r="AG73" s="109"/>
      <c r="AH73" s="104">
        <f t="shared" si="16"/>
        <v>0</v>
      </c>
      <c r="AI73" s="104">
        <f t="shared" si="17"/>
        <v>0</v>
      </c>
      <c r="AJ73" s="95"/>
      <c r="AK73" s="110">
        <f t="shared" si="18"/>
        <v>0</v>
      </c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ht="15.75" customHeight="1">
      <c r="A74" s="97" t="s">
        <v>230</v>
      </c>
      <c r="B74" s="98" t="s">
        <v>371</v>
      </c>
      <c r="C74" s="99"/>
      <c r="D74" s="100"/>
      <c r="E74" s="100"/>
      <c r="F74" s="102" t="s">
        <v>573</v>
      </c>
      <c r="G74" s="102" t="s">
        <v>574</v>
      </c>
      <c r="H74" s="103">
        <v>75.0</v>
      </c>
      <c r="I74" s="102" t="s">
        <v>575</v>
      </c>
      <c r="J74" s="102" t="s">
        <v>230</v>
      </c>
      <c r="K74" s="102" t="s">
        <v>229</v>
      </c>
      <c r="L74" s="102" t="s">
        <v>34</v>
      </c>
      <c r="M74" s="121" t="s">
        <v>415</v>
      </c>
      <c r="N74" s="87">
        <v>87.805608</v>
      </c>
      <c r="O74" s="104">
        <f t="shared" si="1"/>
        <v>87.79876202</v>
      </c>
      <c r="P74" s="104">
        <f t="shared" si="2"/>
        <v>14.07958797</v>
      </c>
      <c r="Q74" s="104">
        <f t="shared" si="3"/>
        <v>101.87835</v>
      </c>
      <c r="R74" s="104">
        <f t="shared" si="4"/>
        <v>3.150876804</v>
      </c>
      <c r="S74" s="105">
        <f t="shared" si="5"/>
        <v>105.0292268</v>
      </c>
      <c r="T74" s="104">
        <f t="shared" si="6"/>
        <v>35.00974226</v>
      </c>
      <c r="U74" s="106">
        <v>140.038969059</v>
      </c>
      <c r="V74" s="106">
        <f t="shared" si="7"/>
        <v>56.01558762</v>
      </c>
      <c r="W74" s="107">
        <f t="shared" si="8"/>
        <v>7.634924593</v>
      </c>
      <c r="X74" s="108">
        <f t="shared" si="9"/>
        <v>147.6738937</v>
      </c>
      <c r="Y74" s="93">
        <f t="shared" si="10"/>
        <v>0.006845978254</v>
      </c>
      <c r="Z74" s="104">
        <f t="shared" si="11"/>
        <v>0</v>
      </c>
      <c r="AA74" s="104">
        <f t="shared" si="12"/>
        <v>0</v>
      </c>
      <c r="AB74" s="104">
        <f t="shared" si="13"/>
        <v>0</v>
      </c>
      <c r="AC74" s="104">
        <f t="shared" si="14"/>
        <v>0</v>
      </c>
      <c r="AD74" s="105">
        <f t="shared" si="15"/>
        <v>0</v>
      </c>
      <c r="AE74" s="109"/>
      <c r="AF74" s="109"/>
      <c r="AG74" s="109"/>
      <c r="AH74" s="104">
        <f t="shared" si="16"/>
        <v>0</v>
      </c>
      <c r="AI74" s="104">
        <f t="shared" si="17"/>
        <v>0</v>
      </c>
      <c r="AJ74" s="95"/>
      <c r="AK74" s="110">
        <f t="shared" si="18"/>
        <v>0</v>
      </c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</row>
    <row r="75" ht="15.75" customHeight="1">
      <c r="A75" s="97" t="s">
        <v>236</v>
      </c>
      <c r="B75" s="98" t="s">
        <v>371</v>
      </c>
      <c r="C75" s="99"/>
      <c r="D75" s="100"/>
      <c r="E75" s="100"/>
      <c r="F75" s="100"/>
      <c r="G75" s="102" t="s">
        <v>576</v>
      </c>
      <c r="H75" s="103">
        <v>76.0</v>
      </c>
      <c r="I75" s="102" t="s">
        <v>577</v>
      </c>
      <c r="J75" s="102" t="s">
        <v>236</v>
      </c>
      <c r="K75" s="102" t="s">
        <v>41</v>
      </c>
      <c r="L75" s="102" t="s">
        <v>94</v>
      </c>
      <c r="M75" s="121" t="s">
        <v>415</v>
      </c>
      <c r="N75" s="87">
        <v>164.635515</v>
      </c>
      <c r="O75" s="104">
        <f t="shared" si="1"/>
        <v>164.6286999</v>
      </c>
      <c r="P75" s="104">
        <f t="shared" si="2"/>
        <v>26.40019301</v>
      </c>
      <c r="Q75" s="104">
        <f t="shared" si="3"/>
        <v>191.028893</v>
      </c>
      <c r="R75" s="104">
        <f t="shared" si="4"/>
        <v>5.908110091</v>
      </c>
      <c r="S75" s="105">
        <f t="shared" si="5"/>
        <v>196.937003</v>
      </c>
      <c r="T75" s="104">
        <f t="shared" si="6"/>
        <v>65.64566768</v>
      </c>
      <c r="U75" s="106">
        <v>262.582670724</v>
      </c>
      <c r="V75" s="106">
        <f t="shared" si="7"/>
        <v>105.0330683</v>
      </c>
      <c r="W75" s="107">
        <f t="shared" si="8"/>
        <v>14.31600721</v>
      </c>
      <c r="X75" s="108">
        <f t="shared" si="9"/>
        <v>276.8986779</v>
      </c>
      <c r="Y75" s="93">
        <f t="shared" si="10"/>
        <v>0.006815054216</v>
      </c>
      <c r="Z75" s="104">
        <f t="shared" si="11"/>
        <v>0</v>
      </c>
      <c r="AA75" s="104">
        <f t="shared" si="12"/>
        <v>0</v>
      </c>
      <c r="AB75" s="104">
        <f t="shared" si="13"/>
        <v>0</v>
      </c>
      <c r="AC75" s="104">
        <f t="shared" si="14"/>
        <v>0</v>
      </c>
      <c r="AD75" s="105">
        <f t="shared" si="15"/>
        <v>0</v>
      </c>
      <c r="AE75" s="109"/>
      <c r="AF75" s="109"/>
      <c r="AG75" s="109"/>
      <c r="AH75" s="104">
        <f t="shared" si="16"/>
        <v>0</v>
      </c>
      <c r="AI75" s="104">
        <f t="shared" si="17"/>
        <v>0</v>
      </c>
      <c r="AJ75" s="95"/>
      <c r="AK75" s="110">
        <f t="shared" si="18"/>
        <v>0</v>
      </c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ht="15.75" customHeight="1">
      <c r="A76" s="97" t="s">
        <v>578</v>
      </c>
      <c r="B76" s="98" t="s">
        <v>371</v>
      </c>
      <c r="C76" s="99"/>
      <c r="D76" s="100"/>
      <c r="E76" s="100"/>
      <c r="F76" s="114"/>
      <c r="G76" s="102" t="s">
        <v>579</v>
      </c>
      <c r="H76" s="103">
        <v>77.0</v>
      </c>
      <c r="I76" s="102" t="s">
        <v>234</v>
      </c>
      <c r="J76" s="102" t="s">
        <v>233</v>
      </c>
      <c r="K76" s="102" t="s">
        <v>232</v>
      </c>
      <c r="L76" s="102" t="s">
        <v>66</v>
      </c>
      <c r="M76" s="117" t="s">
        <v>415</v>
      </c>
      <c r="N76" s="87">
        <v>164.635515</v>
      </c>
      <c r="O76" s="104">
        <f t="shared" si="1"/>
        <v>164.6286999</v>
      </c>
      <c r="P76" s="104">
        <f t="shared" si="2"/>
        <v>26.40019301</v>
      </c>
      <c r="Q76" s="104">
        <f t="shared" si="3"/>
        <v>191.028893</v>
      </c>
      <c r="R76" s="104">
        <f t="shared" si="4"/>
        <v>5.908110091</v>
      </c>
      <c r="S76" s="105">
        <f t="shared" si="5"/>
        <v>196.937003</v>
      </c>
      <c r="T76" s="104">
        <f t="shared" si="6"/>
        <v>65.64566768</v>
      </c>
      <c r="U76" s="106">
        <v>262.582670724</v>
      </c>
      <c r="V76" s="106">
        <f t="shared" si="7"/>
        <v>105.0330683</v>
      </c>
      <c r="W76" s="107">
        <f t="shared" si="8"/>
        <v>14.31600721</v>
      </c>
      <c r="X76" s="108">
        <f t="shared" si="9"/>
        <v>276.8986779</v>
      </c>
      <c r="Y76" s="93">
        <f t="shared" si="10"/>
        <v>0.006815054216</v>
      </c>
      <c r="Z76" s="104">
        <f t="shared" si="11"/>
        <v>0</v>
      </c>
      <c r="AA76" s="104">
        <f t="shared" si="12"/>
        <v>0</v>
      </c>
      <c r="AB76" s="104">
        <f t="shared" si="13"/>
        <v>0</v>
      </c>
      <c r="AC76" s="104">
        <f t="shared" si="14"/>
        <v>0</v>
      </c>
      <c r="AD76" s="105">
        <f t="shared" si="15"/>
        <v>0</v>
      </c>
      <c r="AE76" s="109"/>
      <c r="AF76" s="109"/>
      <c r="AG76" s="109"/>
      <c r="AH76" s="104">
        <f t="shared" si="16"/>
        <v>0</v>
      </c>
      <c r="AI76" s="104">
        <f t="shared" si="17"/>
        <v>0</v>
      </c>
      <c r="AJ76" s="95"/>
      <c r="AK76" s="110">
        <f t="shared" si="18"/>
        <v>0</v>
      </c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</row>
    <row r="77" ht="15.75" customHeight="1">
      <c r="A77" s="97" t="s">
        <v>580</v>
      </c>
      <c r="B77" s="98" t="s">
        <v>371</v>
      </c>
      <c r="C77" s="99"/>
      <c r="D77" s="100"/>
      <c r="E77" s="120" t="s">
        <v>372</v>
      </c>
      <c r="F77" s="102" t="s">
        <v>581</v>
      </c>
      <c r="G77" s="102" t="s">
        <v>582</v>
      </c>
      <c r="H77" s="103">
        <v>80.0</v>
      </c>
      <c r="I77" s="102" t="s">
        <v>244</v>
      </c>
      <c r="J77" s="102" t="s">
        <v>580</v>
      </c>
      <c r="K77" s="102" t="s">
        <v>242</v>
      </c>
      <c r="L77" s="102" t="s">
        <v>34</v>
      </c>
      <c r="M77" s="102" t="s">
        <v>118</v>
      </c>
      <c r="N77" s="87">
        <v>46.48209373500001</v>
      </c>
      <c r="O77" s="111">
        <f t="shared" si="1"/>
        <v>46.48904693</v>
      </c>
      <c r="P77" s="104">
        <f t="shared" si="2"/>
        <v>7.455078075</v>
      </c>
      <c r="Q77" s="104">
        <f t="shared" si="3"/>
        <v>53.944125</v>
      </c>
      <c r="R77" s="104">
        <f t="shared" si="4"/>
        <v>1.668375</v>
      </c>
      <c r="S77" s="105">
        <f t="shared" si="5"/>
        <v>55.6125</v>
      </c>
      <c r="T77" s="104">
        <f t="shared" si="6"/>
        <v>18.5375</v>
      </c>
      <c r="U77" s="106">
        <v>74.15</v>
      </c>
      <c r="V77" s="106">
        <f t="shared" si="7"/>
        <v>29.66</v>
      </c>
      <c r="W77" s="107">
        <f t="shared" si="8"/>
        <v>4.042658</v>
      </c>
      <c r="X77" s="108">
        <f t="shared" si="9"/>
        <v>78.192658</v>
      </c>
      <c r="Y77" s="93">
        <f t="shared" si="10"/>
        <v>-0.00695319</v>
      </c>
      <c r="Z77" s="104">
        <f t="shared" si="11"/>
        <v>0</v>
      </c>
      <c r="AA77" s="104">
        <f t="shared" si="12"/>
        <v>0</v>
      </c>
      <c r="AB77" s="104">
        <f t="shared" si="13"/>
        <v>0</v>
      </c>
      <c r="AC77" s="104">
        <f t="shared" si="14"/>
        <v>0</v>
      </c>
      <c r="AD77" s="105">
        <f t="shared" si="15"/>
        <v>0</v>
      </c>
      <c r="AE77" s="109"/>
      <c r="AF77" s="109"/>
      <c r="AG77" s="109"/>
      <c r="AH77" s="104">
        <f t="shared" si="16"/>
        <v>0</v>
      </c>
      <c r="AI77" s="104">
        <f t="shared" si="17"/>
        <v>0</v>
      </c>
      <c r="AJ77" s="95"/>
      <c r="AK77" s="110">
        <f t="shared" si="18"/>
        <v>0</v>
      </c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ht="15.75" customHeight="1">
      <c r="A78" s="97" t="s">
        <v>583</v>
      </c>
      <c r="B78" s="98" t="s">
        <v>371</v>
      </c>
      <c r="C78" s="119" t="s">
        <v>431</v>
      </c>
      <c r="D78" s="100"/>
      <c r="E78" s="100"/>
      <c r="F78" s="114"/>
      <c r="G78" s="102" t="s">
        <v>584</v>
      </c>
      <c r="H78" s="103">
        <v>81.0</v>
      </c>
      <c r="I78" s="120" t="s">
        <v>247</v>
      </c>
      <c r="J78" s="102" t="s">
        <v>583</v>
      </c>
      <c r="K78" s="102" t="s">
        <v>245</v>
      </c>
      <c r="L78" s="112" t="s">
        <v>34</v>
      </c>
      <c r="M78" s="117" t="s">
        <v>415</v>
      </c>
      <c r="N78" s="87">
        <v>164.635515</v>
      </c>
      <c r="O78" s="113">
        <f t="shared" si="1"/>
        <v>164.6286999</v>
      </c>
      <c r="P78" s="104">
        <f t="shared" si="2"/>
        <v>26.40019301</v>
      </c>
      <c r="Q78" s="104">
        <f t="shared" si="3"/>
        <v>191.028893</v>
      </c>
      <c r="R78" s="104">
        <f t="shared" si="4"/>
        <v>5.908110091</v>
      </c>
      <c r="S78" s="105">
        <f t="shared" si="5"/>
        <v>196.937003</v>
      </c>
      <c r="T78" s="104">
        <f t="shared" si="6"/>
        <v>65.64566768</v>
      </c>
      <c r="U78" s="106">
        <v>262.582670724</v>
      </c>
      <c r="V78" s="106">
        <f t="shared" si="7"/>
        <v>105.0330683</v>
      </c>
      <c r="W78" s="107">
        <f t="shared" si="8"/>
        <v>14.31600721</v>
      </c>
      <c r="X78" s="108">
        <f t="shared" si="9"/>
        <v>276.8986779</v>
      </c>
      <c r="Y78" s="93">
        <f t="shared" si="10"/>
        <v>0.006815054216</v>
      </c>
      <c r="Z78" s="104">
        <f t="shared" si="11"/>
        <v>0</v>
      </c>
      <c r="AA78" s="104">
        <f t="shared" si="12"/>
        <v>0</v>
      </c>
      <c r="AB78" s="104">
        <f t="shared" si="13"/>
        <v>0</v>
      </c>
      <c r="AC78" s="104">
        <f t="shared" si="14"/>
        <v>0</v>
      </c>
      <c r="AD78" s="105">
        <f t="shared" si="15"/>
        <v>0</v>
      </c>
      <c r="AE78" s="109"/>
      <c r="AF78" s="109"/>
      <c r="AG78" s="109"/>
      <c r="AH78" s="104">
        <f t="shared" si="16"/>
        <v>0</v>
      </c>
      <c r="AI78" s="104">
        <f t="shared" si="17"/>
        <v>0</v>
      </c>
      <c r="AJ78" s="95"/>
      <c r="AK78" s="110">
        <f t="shared" si="18"/>
        <v>0</v>
      </c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ht="15.75" customHeight="1">
      <c r="A79" s="97" t="s">
        <v>248</v>
      </c>
      <c r="B79" s="98" t="s">
        <v>371</v>
      </c>
      <c r="C79" s="99"/>
      <c r="D79" s="100"/>
      <c r="E79" s="100"/>
      <c r="F79" s="102" t="s">
        <v>585</v>
      </c>
      <c r="G79" s="102" t="s">
        <v>586</v>
      </c>
      <c r="H79" s="103">
        <v>82.0</v>
      </c>
      <c r="I79" s="102" t="s">
        <v>249</v>
      </c>
      <c r="J79" s="102" t="s">
        <v>248</v>
      </c>
      <c r="K79" s="102" t="s">
        <v>45</v>
      </c>
      <c r="L79" s="102" t="s">
        <v>42</v>
      </c>
      <c r="M79" s="102" t="s">
        <v>118</v>
      </c>
      <c r="N79" s="87">
        <v>209.66</v>
      </c>
      <c r="O79" s="113">
        <f t="shared" si="1"/>
        <v>209.6600844</v>
      </c>
      <c r="P79" s="104">
        <f t="shared" si="2"/>
        <v>33.62151736</v>
      </c>
      <c r="Q79" s="104">
        <f t="shared" si="3"/>
        <v>243.2816018</v>
      </c>
      <c r="R79" s="104">
        <f t="shared" si="4"/>
        <v>7.52417325</v>
      </c>
      <c r="S79" s="105">
        <f t="shared" si="5"/>
        <v>250.805775</v>
      </c>
      <c r="T79" s="104">
        <f t="shared" si="6"/>
        <v>83.601925</v>
      </c>
      <c r="U79" s="106">
        <v>334.4077</v>
      </c>
      <c r="V79" s="106">
        <f t="shared" si="7"/>
        <v>133.76308</v>
      </c>
      <c r="W79" s="107">
        <f t="shared" si="8"/>
        <v>18.2319078</v>
      </c>
      <c r="X79" s="108">
        <f t="shared" si="9"/>
        <v>352.6396078</v>
      </c>
      <c r="Y79" s="93">
        <f t="shared" si="10"/>
        <v>-0.00008438814999</v>
      </c>
      <c r="Z79" s="104">
        <f t="shared" si="11"/>
        <v>0</v>
      </c>
      <c r="AA79" s="104">
        <f t="shared" si="12"/>
        <v>0</v>
      </c>
      <c r="AB79" s="104">
        <f t="shared" si="13"/>
        <v>0</v>
      </c>
      <c r="AC79" s="104">
        <f t="shared" si="14"/>
        <v>0</v>
      </c>
      <c r="AD79" s="105">
        <f t="shared" si="15"/>
        <v>0</v>
      </c>
      <c r="AE79" s="109"/>
      <c r="AF79" s="109"/>
      <c r="AG79" s="109"/>
      <c r="AH79" s="104">
        <f t="shared" si="16"/>
        <v>0</v>
      </c>
      <c r="AI79" s="104">
        <f t="shared" si="17"/>
        <v>0</v>
      </c>
      <c r="AJ79" s="95"/>
      <c r="AK79" s="110">
        <f t="shared" si="18"/>
        <v>0</v>
      </c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ht="15.75" customHeight="1">
      <c r="A80" s="97" t="s">
        <v>252</v>
      </c>
      <c r="B80" s="98" t="s">
        <v>371</v>
      </c>
      <c r="C80" s="99"/>
      <c r="D80" s="100"/>
      <c r="E80" s="114"/>
      <c r="F80" s="102" t="s">
        <v>587</v>
      </c>
      <c r="G80" s="102" t="s">
        <v>588</v>
      </c>
      <c r="H80" s="103">
        <v>83.0</v>
      </c>
      <c r="I80" s="102" t="s">
        <v>253</v>
      </c>
      <c r="J80" s="102" t="s">
        <v>252</v>
      </c>
      <c r="K80" s="102" t="s">
        <v>135</v>
      </c>
      <c r="L80" s="102" t="s">
        <v>34</v>
      </c>
      <c r="M80" s="102" t="s">
        <v>118</v>
      </c>
      <c r="N80" s="87">
        <v>66.40299105000001</v>
      </c>
      <c r="O80" s="111">
        <f t="shared" si="1"/>
        <v>66.39501105</v>
      </c>
      <c r="P80" s="104">
        <f t="shared" si="2"/>
        <v>10.64723895</v>
      </c>
      <c r="Q80" s="104">
        <f t="shared" si="3"/>
        <v>77.04225</v>
      </c>
      <c r="R80" s="104">
        <f t="shared" si="4"/>
        <v>2.38275</v>
      </c>
      <c r="S80" s="105">
        <f t="shared" si="5"/>
        <v>79.425</v>
      </c>
      <c r="T80" s="104">
        <f t="shared" si="6"/>
        <v>26.475</v>
      </c>
      <c r="U80" s="106">
        <v>105.9</v>
      </c>
      <c r="V80" s="106">
        <f t="shared" si="7"/>
        <v>42.36</v>
      </c>
      <c r="W80" s="107">
        <f t="shared" si="8"/>
        <v>5.773668</v>
      </c>
      <c r="X80" s="108">
        <f t="shared" si="9"/>
        <v>111.673668</v>
      </c>
      <c r="Y80" s="93">
        <f t="shared" si="10"/>
        <v>0.00798</v>
      </c>
      <c r="Z80" s="104">
        <f t="shared" si="11"/>
        <v>0</v>
      </c>
      <c r="AA80" s="104">
        <f t="shared" si="12"/>
        <v>0</v>
      </c>
      <c r="AB80" s="104">
        <f t="shared" si="13"/>
        <v>0</v>
      </c>
      <c r="AC80" s="104">
        <f t="shared" si="14"/>
        <v>0</v>
      </c>
      <c r="AD80" s="105">
        <f t="shared" si="15"/>
        <v>0</v>
      </c>
      <c r="AE80" s="109"/>
      <c r="AF80" s="109"/>
      <c r="AG80" s="109"/>
      <c r="AH80" s="104">
        <f t="shared" si="16"/>
        <v>0</v>
      </c>
      <c r="AI80" s="104">
        <f t="shared" si="17"/>
        <v>0</v>
      </c>
      <c r="AJ80" s="95"/>
      <c r="AK80" s="110">
        <f t="shared" si="18"/>
        <v>0</v>
      </c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ht="15.75" customHeight="1">
      <c r="A81" s="97" t="s">
        <v>257</v>
      </c>
      <c r="B81" s="98" t="s">
        <v>371</v>
      </c>
      <c r="C81" s="99"/>
      <c r="D81" s="100"/>
      <c r="E81" s="100"/>
      <c r="F81" s="102" t="s">
        <v>589</v>
      </c>
      <c r="G81" s="102" t="s">
        <v>590</v>
      </c>
      <c r="H81" s="103">
        <v>87.0</v>
      </c>
      <c r="I81" s="102" t="s">
        <v>258</v>
      </c>
      <c r="J81" s="102" t="s">
        <v>257</v>
      </c>
      <c r="K81" s="102" t="s">
        <v>33</v>
      </c>
      <c r="L81" s="102" t="s">
        <v>34</v>
      </c>
      <c r="M81" s="102" t="s">
        <v>35</v>
      </c>
      <c r="N81" s="87">
        <v>144.87925320000002</v>
      </c>
      <c r="O81" s="113">
        <f t="shared" si="1"/>
        <v>144.8793115</v>
      </c>
      <c r="P81" s="104">
        <f t="shared" si="2"/>
        <v>23.23314093</v>
      </c>
      <c r="Q81" s="104">
        <f t="shared" si="3"/>
        <v>168.1124524</v>
      </c>
      <c r="R81" s="104">
        <f t="shared" si="4"/>
        <v>5.199354199</v>
      </c>
      <c r="S81" s="105">
        <f t="shared" si="5"/>
        <v>173.3118066</v>
      </c>
      <c r="T81" s="104">
        <f t="shared" si="6"/>
        <v>57.77060221</v>
      </c>
      <c r="U81" s="106">
        <v>231.08240885400002</v>
      </c>
      <c r="V81" s="106">
        <f t="shared" si="7"/>
        <v>92.43296354</v>
      </c>
      <c r="W81" s="107">
        <f t="shared" si="8"/>
        <v>12.59861293</v>
      </c>
      <c r="X81" s="108">
        <f t="shared" si="9"/>
        <v>243.6810218</v>
      </c>
      <c r="Y81" s="93">
        <f t="shared" si="10"/>
        <v>-0.00005831389939</v>
      </c>
      <c r="Z81" s="104">
        <f t="shared" si="11"/>
        <v>0</v>
      </c>
      <c r="AA81" s="104">
        <f t="shared" si="12"/>
        <v>0</v>
      </c>
      <c r="AB81" s="104">
        <f t="shared" si="13"/>
        <v>0</v>
      </c>
      <c r="AC81" s="104">
        <f t="shared" si="14"/>
        <v>0</v>
      </c>
      <c r="AD81" s="105">
        <f t="shared" si="15"/>
        <v>0</v>
      </c>
      <c r="AE81" s="109"/>
      <c r="AF81" s="109"/>
      <c r="AG81" s="109"/>
      <c r="AH81" s="104">
        <f t="shared" si="16"/>
        <v>0</v>
      </c>
      <c r="AI81" s="104">
        <f t="shared" si="17"/>
        <v>0</v>
      </c>
      <c r="AJ81" s="95"/>
      <c r="AK81" s="110">
        <f t="shared" si="18"/>
        <v>0</v>
      </c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ht="15.75" customHeight="1">
      <c r="A82" s="97" t="s">
        <v>263</v>
      </c>
      <c r="B82" s="98" t="s">
        <v>371</v>
      </c>
      <c r="C82" s="99"/>
      <c r="D82" s="100"/>
      <c r="E82" s="100"/>
      <c r="F82" s="102" t="s">
        <v>591</v>
      </c>
      <c r="G82" s="102" t="s">
        <v>592</v>
      </c>
      <c r="H82" s="103">
        <v>89.0</v>
      </c>
      <c r="I82" s="102" t="s">
        <v>264</v>
      </c>
      <c r="J82" s="102" t="s">
        <v>263</v>
      </c>
      <c r="K82" s="102" t="s">
        <v>262</v>
      </c>
      <c r="L82" s="102" t="s">
        <v>66</v>
      </c>
      <c r="M82" s="102" t="s">
        <v>35</v>
      </c>
      <c r="N82" s="87">
        <v>132.80598210000002</v>
      </c>
      <c r="O82" s="113">
        <f t="shared" si="1"/>
        <v>132.8060356</v>
      </c>
      <c r="P82" s="104">
        <f t="shared" si="2"/>
        <v>21.29704585</v>
      </c>
      <c r="Q82" s="104">
        <f t="shared" si="3"/>
        <v>154.1030814</v>
      </c>
      <c r="R82" s="104">
        <f t="shared" si="4"/>
        <v>4.766074683</v>
      </c>
      <c r="S82" s="105">
        <f t="shared" si="5"/>
        <v>158.8691561</v>
      </c>
      <c r="T82" s="104">
        <f t="shared" si="6"/>
        <v>52.95638536</v>
      </c>
      <c r="U82" s="106">
        <v>211.82554144950004</v>
      </c>
      <c r="V82" s="106">
        <f t="shared" si="7"/>
        <v>84.73021658</v>
      </c>
      <c r="W82" s="107">
        <f t="shared" si="8"/>
        <v>11.54872852</v>
      </c>
      <c r="X82" s="108">
        <f t="shared" si="9"/>
        <v>223.37427</v>
      </c>
      <c r="Y82" s="93">
        <f t="shared" si="10"/>
        <v>-0.00005345440781</v>
      </c>
      <c r="Z82" s="104">
        <f t="shared" si="11"/>
        <v>0</v>
      </c>
      <c r="AA82" s="104">
        <f t="shared" si="12"/>
        <v>0</v>
      </c>
      <c r="AB82" s="104">
        <f t="shared" si="13"/>
        <v>0</v>
      </c>
      <c r="AC82" s="104">
        <f t="shared" si="14"/>
        <v>0</v>
      </c>
      <c r="AD82" s="105">
        <f t="shared" si="15"/>
        <v>0</v>
      </c>
      <c r="AE82" s="109"/>
      <c r="AF82" s="109"/>
      <c r="AG82" s="109"/>
      <c r="AH82" s="104">
        <f t="shared" si="16"/>
        <v>0</v>
      </c>
      <c r="AI82" s="104">
        <f t="shared" si="17"/>
        <v>0</v>
      </c>
      <c r="AJ82" s="95"/>
      <c r="AK82" s="110">
        <f t="shared" si="18"/>
        <v>0</v>
      </c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ht="15.75" customHeight="1">
      <c r="A83" s="97" t="s">
        <v>267</v>
      </c>
      <c r="B83" s="98" t="s">
        <v>371</v>
      </c>
      <c r="C83" s="99"/>
      <c r="D83" s="100"/>
      <c r="E83" s="100"/>
      <c r="F83" s="100"/>
      <c r="G83" s="102" t="s">
        <v>593</v>
      </c>
      <c r="H83" s="103">
        <v>117.0</v>
      </c>
      <c r="I83" s="102" t="s">
        <v>594</v>
      </c>
      <c r="J83" s="102" t="s">
        <v>267</v>
      </c>
      <c r="K83" s="102" t="s">
        <v>159</v>
      </c>
      <c r="L83" s="102" t="s">
        <v>94</v>
      </c>
      <c r="M83" s="123" t="s">
        <v>415</v>
      </c>
      <c r="N83" s="87">
        <v>126.16568299500004</v>
      </c>
      <c r="O83" s="111">
        <f t="shared" si="1"/>
        <v>126.1693298</v>
      </c>
      <c r="P83" s="104">
        <f t="shared" si="2"/>
        <v>20.23277022</v>
      </c>
      <c r="Q83" s="104">
        <f t="shared" si="3"/>
        <v>146.4021</v>
      </c>
      <c r="R83" s="104">
        <f t="shared" si="4"/>
        <v>4.5279</v>
      </c>
      <c r="S83" s="105">
        <f t="shared" si="5"/>
        <v>150.93</v>
      </c>
      <c r="T83" s="104">
        <f t="shared" si="6"/>
        <v>50.31</v>
      </c>
      <c r="U83" s="106">
        <v>201.24</v>
      </c>
      <c r="V83" s="106">
        <f t="shared" si="7"/>
        <v>80.496</v>
      </c>
      <c r="W83" s="107">
        <f t="shared" si="8"/>
        <v>10.9716048</v>
      </c>
      <c r="X83" s="108">
        <f t="shared" si="9"/>
        <v>212.2116048</v>
      </c>
      <c r="Y83" s="93">
        <f t="shared" si="10"/>
        <v>-0.003646785</v>
      </c>
      <c r="Z83" s="104">
        <f t="shared" si="11"/>
        <v>0</v>
      </c>
      <c r="AA83" s="104">
        <f t="shared" si="12"/>
        <v>0</v>
      </c>
      <c r="AB83" s="104">
        <f t="shared" si="13"/>
        <v>0</v>
      </c>
      <c r="AC83" s="104">
        <f t="shared" si="14"/>
        <v>0</v>
      </c>
      <c r="AD83" s="105">
        <f t="shared" si="15"/>
        <v>0</v>
      </c>
      <c r="AE83" s="109"/>
      <c r="AF83" s="109"/>
      <c r="AG83" s="109"/>
      <c r="AH83" s="104">
        <f t="shared" si="16"/>
        <v>0</v>
      </c>
      <c r="AI83" s="104">
        <f t="shared" si="17"/>
        <v>0</v>
      </c>
      <c r="AJ83" s="95"/>
      <c r="AK83" s="110">
        <f t="shared" si="18"/>
        <v>0</v>
      </c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ht="15.75" customHeight="1">
      <c r="A84" s="97" t="s">
        <v>595</v>
      </c>
      <c r="B84" s="98" t="s">
        <v>371</v>
      </c>
      <c r="C84" s="119" t="s">
        <v>431</v>
      </c>
      <c r="D84" s="100"/>
      <c r="E84" s="101"/>
      <c r="F84" s="101"/>
      <c r="G84" s="102" t="s">
        <v>596</v>
      </c>
      <c r="H84" s="103">
        <v>140.0</v>
      </c>
      <c r="I84" s="102" t="s">
        <v>597</v>
      </c>
      <c r="J84" s="112" t="s">
        <v>598</v>
      </c>
      <c r="K84" s="117" t="s">
        <v>415</v>
      </c>
      <c r="L84" s="117" t="s">
        <v>415</v>
      </c>
      <c r="M84" s="117" t="s">
        <v>415</v>
      </c>
      <c r="N84" s="87">
        <v>157.245</v>
      </c>
      <c r="O84" s="111">
        <f t="shared" si="1"/>
        <v>157.2414426</v>
      </c>
      <c r="P84" s="104">
        <f t="shared" si="2"/>
        <v>25.2155574</v>
      </c>
      <c r="Q84" s="104">
        <f t="shared" si="3"/>
        <v>182.457</v>
      </c>
      <c r="R84" s="104">
        <f t="shared" si="4"/>
        <v>5.643</v>
      </c>
      <c r="S84" s="105">
        <f t="shared" si="5"/>
        <v>188.1</v>
      </c>
      <c r="T84" s="104">
        <f t="shared" si="6"/>
        <v>62.7</v>
      </c>
      <c r="U84" s="106">
        <v>250.8</v>
      </c>
      <c r="V84" s="106">
        <f t="shared" si="7"/>
        <v>100.32</v>
      </c>
      <c r="W84" s="107">
        <f t="shared" si="8"/>
        <v>13.673616</v>
      </c>
      <c r="X84" s="108">
        <f t="shared" si="9"/>
        <v>264.473616</v>
      </c>
      <c r="Y84" s="93">
        <f t="shared" si="10"/>
        <v>0.0035574</v>
      </c>
      <c r="Z84" s="104">
        <f t="shared" si="11"/>
        <v>0</v>
      </c>
      <c r="AA84" s="104">
        <f t="shared" si="12"/>
        <v>0</v>
      </c>
      <c r="AB84" s="104">
        <f t="shared" si="13"/>
        <v>0</v>
      </c>
      <c r="AC84" s="104">
        <f t="shared" si="14"/>
        <v>0</v>
      </c>
      <c r="AD84" s="105">
        <f t="shared" si="15"/>
        <v>0</v>
      </c>
      <c r="AE84" s="109"/>
      <c r="AF84" s="109"/>
      <c r="AG84" s="109"/>
      <c r="AH84" s="104">
        <f t="shared" si="16"/>
        <v>0</v>
      </c>
      <c r="AI84" s="104">
        <f t="shared" si="17"/>
        <v>0</v>
      </c>
      <c r="AJ84" s="95"/>
      <c r="AK84" s="110">
        <f t="shared" si="18"/>
        <v>0</v>
      </c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ht="15.75" customHeight="1">
      <c r="A85" s="97" t="s">
        <v>599</v>
      </c>
      <c r="B85" s="98" t="s">
        <v>371</v>
      </c>
      <c r="C85" s="99"/>
      <c r="D85" s="100"/>
      <c r="E85" s="114"/>
      <c r="F85" s="102" t="s">
        <v>600</v>
      </c>
      <c r="G85" s="102" t="s">
        <v>601</v>
      </c>
      <c r="H85" s="103">
        <v>94.0</v>
      </c>
      <c r="I85" s="102" t="s">
        <v>274</v>
      </c>
      <c r="J85" s="102" t="s">
        <v>599</v>
      </c>
      <c r="K85" s="102" t="s">
        <v>272</v>
      </c>
      <c r="L85" s="102" t="s">
        <v>34</v>
      </c>
      <c r="M85" s="121" t="s">
        <v>415</v>
      </c>
      <c r="N85" s="87">
        <v>65.854206</v>
      </c>
      <c r="O85" s="113">
        <f t="shared" si="1"/>
        <v>65.84735119</v>
      </c>
      <c r="P85" s="104">
        <f t="shared" si="2"/>
        <v>10.5594151</v>
      </c>
      <c r="Q85" s="104">
        <f t="shared" si="3"/>
        <v>76.40676629</v>
      </c>
      <c r="R85" s="104">
        <f t="shared" si="4"/>
        <v>2.363095865</v>
      </c>
      <c r="S85" s="105">
        <f t="shared" si="5"/>
        <v>78.76986215</v>
      </c>
      <c r="T85" s="104">
        <f t="shared" si="6"/>
        <v>26.25662072</v>
      </c>
      <c r="U85" s="106">
        <v>105.02648286899999</v>
      </c>
      <c r="V85" s="106">
        <f t="shared" si="7"/>
        <v>42.01059315</v>
      </c>
      <c r="W85" s="107">
        <f t="shared" si="8"/>
        <v>5.726043846</v>
      </c>
      <c r="X85" s="108">
        <f t="shared" si="9"/>
        <v>110.7525267</v>
      </c>
      <c r="Y85" s="93">
        <f t="shared" si="10"/>
        <v>0.006854813693</v>
      </c>
      <c r="Z85" s="104">
        <f t="shared" si="11"/>
        <v>0</v>
      </c>
      <c r="AA85" s="104">
        <f t="shared" si="12"/>
        <v>0</v>
      </c>
      <c r="AB85" s="104">
        <f t="shared" si="13"/>
        <v>0</v>
      </c>
      <c r="AC85" s="104">
        <f t="shared" si="14"/>
        <v>0</v>
      </c>
      <c r="AD85" s="105">
        <f t="shared" si="15"/>
        <v>0</v>
      </c>
      <c r="AE85" s="109"/>
      <c r="AF85" s="109"/>
      <c r="AG85" s="109"/>
      <c r="AH85" s="104">
        <f t="shared" si="16"/>
        <v>0</v>
      </c>
      <c r="AI85" s="104">
        <f t="shared" si="17"/>
        <v>0</v>
      </c>
      <c r="AJ85" s="95"/>
      <c r="AK85" s="110">
        <f t="shared" si="18"/>
        <v>0</v>
      </c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ht="15.75" customHeight="1">
      <c r="A86" s="97" t="s">
        <v>602</v>
      </c>
      <c r="B86" s="98" t="s">
        <v>371</v>
      </c>
      <c r="C86" s="99"/>
      <c r="D86" s="100"/>
      <c r="E86" s="100"/>
      <c r="F86" s="102" t="s">
        <v>603</v>
      </c>
      <c r="G86" s="102" t="s">
        <v>604</v>
      </c>
      <c r="H86" s="103">
        <v>95.0</v>
      </c>
      <c r="I86" s="102" t="s">
        <v>278</v>
      </c>
      <c r="J86" s="102" t="s">
        <v>602</v>
      </c>
      <c r="K86" s="102" t="s">
        <v>217</v>
      </c>
      <c r="L86" s="102" t="s">
        <v>66</v>
      </c>
      <c r="M86" s="102" t="s">
        <v>35</v>
      </c>
      <c r="N86" s="87">
        <v>132.80598210000002</v>
      </c>
      <c r="O86" s="113">
        <f t="shared" si="1"/>
        <v>132.8060356</v>
      </c>
      <c r="P86" s="104">
        <f t="shared" si="2"/>
        <v>21.29704585</v>
      </c>
      <c r="Q86" s="104">
        <f t="shared" si="3"/>
        <v>154.1030814</v>
      </c>
      <c r="R86" s="104">
        <f t="shared" si="4"/>
        <v>4.766074683</v>
      </c>
      <c r="S86" s="105">
        <f t="shared" si="5"/>
        <v>158.8691561</v>
      </c>
      <c r="T86" s="104">
        <f t="shared" si="6"/>
        <v>52.95638536</v>
      </c>
      <c r="U86" s="106">
        <v>211.82554144950004</v>
      </c>
      <c r="V86" s="106">
        <f t="shared" si="7"/>
        <v>84.73021658</v>
      </c>
      <c r="W86" s="107">
        <f t="shared" si="8"/>
        <v>11.54872852</v>
      </c>
      <c r="X86" s="108">
        <f t="shared" si="9"/>
        <v>223.37427</v>
      </c>
      <c r="Y86" s="93">
        <f t="shared" si="10"/>
        <v>-0.00005345440781</v>
      </c>
      <c r="Z86" s="104">
        <f t="shared" si="11"/>
        <v>0</v>
      </c>
      <c r="AA86" s="104">
        <f t="shared" si="12"/>
        <v>0</v>
      </c>
      <c r="AB86" s="104">
        <f t="shared" si="13"/>
        <v>0</v>
      </c>
      <c r="AC86" s="104">
        <f t="shared" si="14"/>
        <v>0</v>
      </c>
      <c r="AD86" s="105">
        <f t="shared" si="15"/>
        <v>0</v>
      </c>
      <c r="AE86" s="109"/>
      <c r="AF86" s="109"/>
      <c r="AG86" s="109"/>
      <c r="AH86" s="104">
        <f t="shared" si="16"/>
        <v>0</v>
      </c>
      <c r="AI86" s="104">
        <f t="shared" si="17"/>
        <v>0</v>
      </c>
      <c r="AJ86" s="95"/>
      <c r="AK86" s="110">
        <f t="shared" si="18"/>
        <v>0</v>
      </c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ht="15.75" customHeight="1">
      <c r="A87" s="97" t="s">
        <v>605</v>
      </c>
      <c r="B87" s="98" t="s">
        <v>371</v>
      </c>
      <c r="C87" s="99"/>
      <c r="D87" s="100"/>
      <c r="E87" s="100"/>
      <c r="F87" s="102" t="s">
        <v>606</v>
      </c>
      <c r="G87" s="102" t="s">
        <v>607</v>
      </c>
      <c r="H87" s="103">
        <v>96.0</v>
      </c>
      <c r="I87" s="102" t="s">
        <v>280</v>
      </c>
      <c r="J87" s="102" t="s">
        <v>605</v>
      </c>
      <c r="K87" s="102" t="s">
        <v>269</v>
      </c>
      <c r="L87" s="102" t="s">
        <v>66</v>
      </c>
      <c r="M87" s="102" t="s">
        <v>35</v>
      </c>
      <c r="N87" s="87">
        <v>159.36717852</v>
      </c>
      <c r="O87" s="113">
        <f t="shared" si="1"/>
        <v>159.3672427</v>
      </c>
      <c r="P87" s="104">
        <f t="shared" si="2"/>
        <v>25.55645502</v>
      </c>
      <c r="Q87" s="104">
        <f t="shared" si="3"/>
        <v>184.9236977</v>
      </c>
      <c r="R87" s="104">
        <f t="shared" si="4"/>
        <v>5.719289619</v>
      </c>
      <c r="S87" s="105">
        <f t="shared" si="5"/>
        <v>190.6429873</v>
      </c>
      <c r="T87" s="104">
        <f t="shared" si="6"/>
        <v>63.54766243</v>
      </c>
      <c r="U87" s="127">
        <v>254.19064973940004</v>
      </c>
      <c r="V87" s="106">
        <f t="shared" si="7"/>
        <v>101.6762599</v>
      </c>
      <c r="W87" s="107">
        <f t="shared" si="8"/>
        <v>13.85847422</v>
      </c>
      <c r="X87" s="108">
        <f t="shared" si="9"/>
        <v>268.049124</v>
      </c>
      <c r="Y87" s="93">
        <f t="shared" si="10"/>
        <v>-0.00006414528937</v>
      </c>
      <c r="Z87" s="104">
        <f t="shared" si="11"/>
        <v>0</v>
      </c>
      <c r="AA87" s="104">
        <f t="shared" si="12"/>
        <v>0</v>
      </c>
      <c r="AB87" s="104">
        <f t="shared" si="13"/>
        <v>0</v>
      </c>
      <c r="AC87" s="104">
        <f t="shared" si="14"/>
        <v>0</v>
      </c>
      <c r="AD87" s="105">
        <f t="shared" si="15"/>
        <v>0</v>
      </c>
      <c r="AE87" s="109"/>
      <c r="AF87" s="109"/>
      <c r="AG87" s="109"/>
      <c r="AH87" s="104">
        <f t="shared" si="16"/>
        <v>0</v>
      </c>
      <c r="AI87" s="104">
        <f t="shared" si="17"/>
        <v>0</v>
      </c>
      <c r="AJ87" s="95"/>
      <c r="AK87" s="110">
        <f t="shared" si="18"/>
        <v>0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ht="15.75" customHeight="1">
      <c r="A88" s="97" t="s">
        <v>608</v>
      </c>
      <c r="B88" s="98" t="s">
        <v>371</v>
      </c>
      <c r="C88" s="99"/>
      <c r="D88" s="100"/>
      <c r="E88" s="100"/>
      <c r="F88" s="102" t="s">
        <v>609</v>
      </c>
      <c r="G88" s="102" t="s">
        <v>610</v>
      </c>
      <c r="H88" s="103">
        <v>97.0</v>
      </c>
      <c r="I88" s="102" t="s">
        <v>282</v>
      </c>
      <c r="J88" s="102" t="s">
        <v>608</v>
      </c>
      <c r="K88" s="102" t="s">
        <v>269</v>
      </c>
      <c r="L88" s="102" t="s">
        <v>66</v>
      </c>
      <c r="M88" s="102" t="s">
        <v>35</v>
      </c>
      <c r="N88" s="87">
        <v>199.20897315000002</v>
      </c>
      <c r="O88" s="111">
        <f t="shared" si="1"/>
        <v>199.2101115</v>
      </c>
      <c r="P88" s="104">
        <f t="shared" si="2"/>
        <v>31.94573847</v>
      </c>
      <c r="Q88" s="104">
        <f t="shared" si="3"/>
        <v>231.15585</v>
      </c>
      <c r="R88" s="104">
        <f t="shared" si="4"/>
        <v>7.14915</v>
      </c>
      <c r="S88" s="105">
        <f t="shared" si="5"/>
        <v>238.305</v>
      </c>
      <c r="T88" s="104">
        <f t="shared" si="6"/>
        <v>79.435</v>
      </c>
      <c r="U88" s="106">
        <v>317.74</v>
      </c>
      <c r="V88" s="106">
        <f t="shared" si="7"/>
        <v>127.096</v>
      </c>
      <c r="W88" s="107">
        <f t="shared" si="8"/>
        <v>17.3231848</v>
      </c>
      <c r="X88" s="108">
        <f t="shared" si="9"/>
        <v>335.0631848</v>
      </c>
      <c r="Y88" s="93">
        <f t="shared" si="10"/>
        <v>-0.00113838</v>
      </c>
      <c r="Z88" s="104">
        <f t="shared" si="11"/>
        <v>0</v>
      </c>
      <c r="AA88" s="104">
        <f t="shared" si="12"/>
        <v>0</v>
      </c>
      <c r="AB88" s="104">
        <f t="shared" si="13"/>
        <v>0</v>
      </c>
      <c r="AC88" s="104">
        <f t="shared" si="14"/>
        <v>0</v>
      </c>
      <c r="AD88" s="105">
        <f t="shared" si="15"/>
        <v>0</v>
      </c>
      <c r="AE88" s="109"/>
      <c r="AF88" s="109"/>
      <c r="AG88" s="109"/>
      <c r="AH88" s="104">
        <f t="shared" si="16"/>
        <v>0</v>
      </c>
      <c r="AI88" s="104">
        <f t="shared" si="17"/>
        <v>0</v>
      </c>
      <c r="AJ88" s="95"/>
      <c r="AK88" s="110">
        <f t="shared" si="18"/>
        <v>0</v>
      </c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ht="15.75" customHeight="1">
      <c r="A89" s="97" t="s">
        <v>284</v>
      </c>
      <c r="B89" s="98" t="s">
        <v>371</v>
      </c>
      <c r="C89" s="99"/>
      <c r="D89" s="100"/>
      <c r="E89" s="114"/>
      <c r="F89" s="102" t="s">
        <v>611</v>
      </c>
      <c r="G89" s="102" t="s">
        <v>612</v>
      </c>
      <c r="H89" s="103">
        <v>98.0</v>
      </c>
      <c r="I89" s="102" t="s">
        <v>285</v>
      </c>
      <c r="J89" s="102" t="s">
        <v>284</v>
      </c>
      <c r="K89" s="102" t="s">
        <v>613</v>
      </c>
      <c r="L89" s="102" t="s">
        <v>34</v>
      </c>
      <c r="M89" s="102" t="s">
        <v>73</v>
      </c>
      <c r="N89" s="87">
        <v>25.0</v>
      </c>
      <c r="O89" s="104">
        <f t="shared" si="1"/>
        <v>24.99836514</v>
      </c>
      <c r="P89" s="104">
        <f t="shared" si="2"/>
        <v>4.008788654</v>
      </c>
      <c r="Q89" s="104">
        <f t="shared" si="3"/>
        <v>29.00715379</v>
      </c>
      <c r="R89" s="104">
        <f t="shared" si="4"/>
        <v>0.8971284679</v>
      </c>
      <c r="S89" s="105">
        <f t="shared" si="5"/>
        <v>29.90428226</v>
      </c>
      <c r="T89" s="104">
        <f t="shared" si="6"/>
        <v>9.968094088</v>
      </c>
      <c r="U89" s="118">
        <v>39.872376350383966</v>
      </c>
      <c r="V89" s="106">
        <f t="shared" si="7"/>
        <v>15.94895054</v>
      </c>
      <c r="W89" s="107">
        <f t="shared" si="8"/>
        <v>2.173841959</v>
      </c>
      <c r="X89" s="108">
        <f t="shared" si="9"/>
        <v>42.04621831</v>
      </c>
      <c r="Y89" s="93">
        <f t="shared" si="10"/>
        <v>0.001634859551</v>
      </c>
      <c r="Z89" s="104">
        <f t="shared" si="11"/>
        <v>0</v>
      </c>
      <c r="AA89" s="104">
        <f t="shared" si="12"/>
        <v>0</v>
      </c>
      <c r="AB89" s="104">
        <f t="shared" si="13"/>
        <v>0</v>
      </c>
      <c r="AC89" s="104">
        <f t="shared" si="14"/>
        <v>0</v>
      </c>
      <c r="AD89" s="105">
        <f t="shared" si="15"/>
        <v>0</v>
      </c>
      <c r="AE89" s="109"/>
      <c r="AF89" s="109"/>
      <c r="AG89" s="109"/>
      <c r="AH89" s="104">
        <f t="shared" si="16"/>
        <v>0</v>
      </c>
      <c r="AI89" s="104">
        <f t="shared" si="17"/>
        <v>0</v>
      </c>
      <c r="AJ89" s="95"/>
      <c r="AK89" s="110">
        <f t="shared" si="18"/>
        <v>0</v>
      </c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ht="15.75" customHeight="1">
      <c r="A90" s="97" t="s">
        <v>614</v>
      </c>
      <c r="B90" s="98" t="s">
        <v>371</v>
      </c>
      <c r="C90" s="99"/>
      <c r="D90" s="100"/>
      <c r="E90" s="101"/>
      <c r="F90" s="101"/>
      <c r="G90" s="102" t="s">
        <v>615</v>
      </c>
      <c r="H90" s="103">
        <v>141.0</v>
      </c>
      <c r="I90" s="102" t="s">
        <v>616</v>
      </c>
      <c r="J90" s="102" t="s">
        <v>322</v>
      </c>
      <c r="K90" s="102" t="s">
        <v>617</v>
      </c>
      <c r="L90" s="102" t="s">
        <v>34</v>
      </c>
      <c r="M90" s="102" t="s">
        <v>415</v>
      </c>
      <c r="N90" s="87">
        <v>157.245</v>
      </c>
      <c r="O90" s="111">
        <f t="shared" si="1"/>
        <v>157.2414426</v>
      </c>
      <c r="P90" s="104">
        <f t="shared" si="2"/>
        <v>25.2155574</v>
      </c>
      <c r="Q90" s="104">
        <f t="shared" si="3"/>
        <v>182.457</v>
      </c>
      <c r="R90" s="104">
        <f t="shared" si="4"/>
        <v>5.643</v>
      </c>
      <c r="S90" s="105">
        <f t="shared" si="5"/>
        <v>188.1</v>
      </c>
      <c r="T90" s="104">
        <f t="shared" si="6"/>
        <v>62.7</v>
      </c>
      <c r="U90" s="106">
        <v>250.8</v>
      </c>
      <c r="V90" s="106">
        <f t="shared" si="7"/>
        <v>100.32</v>
      </c>
      <c r="W90" s="107">
        <f t="shared" si="8"/>
        <v>13.673616</v>
      </c>
      <c r="X90" s="108">
        <f t="shared" si="9"/>
        <v>264.473616</v>
      </c>
      <c r="Y90" s="93">
        <f t="shared" si="10"/>
        <v>0.0035574</v>
      </c>
      <c r="Z90" s="104">
        <f t="shared" si="11"/>
        <v>0</v>
      </c>
      <c r="AA90" s="104">
        <f t="shared" si="12"/>
        <v>0</v>
      </c>
      <c r="AB90" s="104">
        <f t="shared" si="13"/>
        <v>0</v>
      </c>
      <c r="AC90" s="104">
        <f t="shared" si="14"/>
        <v>0</v>
      </c>
      <c r="AD90" s="105">
        <f t="shared" si="15"/>
        <v>0</v>
      </c>
      <c r="AE90" s="109"/>
      <c r="AF90" s="109"/>
      <c r="AG90" s="109"/>
      <c r="AH90" s="104">
        <f t="shared" si="16"/>
        <v>0</v>
      </c>
      <c r="AI90" s="104">
        <f t="shared" si="17"/>
        <v>0</v>
      </c>
      <c r="AJ90" s="95"/>
      <c r="AK90" s="110">
        <f t="shared" si="18"/>
        <v>0</v>
      </c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ht="15.75" customHeight="1">
      <c r="A91" s="97" t="s">
        <v>287</v>
      </c>
      <c r="B91" s="98" t="s">
        <v>371</v>
      </c>
      <c r="C91" s="99"/>
      <c r="D91" s="100"/>
      <c r="E91" s="100"/>
      <c r="F91" s="114"/>
      <c r="G91" s="102" t="s">
        <v>618</v>
      </c>
      <c r="H91" s="103">
        <v>100.0</v>
      </c>
      <c r="I91" s="102" t="s">
        <v>619</v>
      </c>
      <c r="J91" s="102" t="s">
        <v>287</v>
      </c>
      <c r="K91" s="102" t="s">
        <v>286</v>
      </c>
      <c r="L91" s="102" t="s">
        <v>94</v>
      </c>
      <c r="M91" s="121" t="s">
        <v>415</v>
      </c>
      <c r="N91" s="87">
        <v>131.708412</v>
      </c>
      <c r="O91" s="113">
        <f t="shared" si="1"/>
        <v>131.7015837</v>
      </c>
      <c r="P91" s="104">
        <f t="shared" si="2"/>
        <v>21.1199337</v>
      </c>
      <c r="Q91" s="104">
        <f t="shared" si="3"/>
        <v>152.8215174</v>
      </c>
      <c r="R91" s="104">
        <f t="shared" si="4"/>
        <v>4.726438682</v>
      </c>
      <c r="S91" s="105">
        <f t="shared" si="5"/>
        <v>157.5479561</v>
      </c>
      <c r="T91" s="104">
        <f t="shared" si="6"/>
        <v>52.51598536</v>
      </c>
      <c r="U91" s="106">
        <v>210.063941439</v>
      </c>
      <c r="V91" s="106">
        <f t="shared" si="7"/>
        <v>84.02557658</v>
      </c>
      <c r="W91" s="107">
        <f t="shared" si="8"/>
        <v>11.45268609</v>
      </c>
      <c r="X91" s="108">
        <f t="shared" si="9"/>
        <v>221.5166275</v>
      </c>
      <c r="Y91" s="93">
        <f t="shared" si="10"/>
        <v>0.006828307375</v>
      </c>
      <c r="Z91" s="104">
        <f t="shared" si="11"/>
        <v>0</v>
      </c>
      <c r="AA91" s="104">
        <f t="shared" si="12"/>
        <v>0</v>
      </c>
      <c r="AB91" s="104">
        <f t="shared" si="13"/>
        <v>0</v>
      </c>
      <c r="AC91" s="104">
        <f t="shared" si="14"/>
        <v>0</v>
      </c>
      <c r="AD91" s="105">
        <f t="shared" si="15"/>
        <v>0</v>
      </c>
      <c r="AE91" s="109"/>
      <c r="AF91" s="109"/>
      <c r="AG91" s="109"/>
      <c r="AH91" s="104">
        <f t="shared" si="16"/>
        <v>0</v>
      </c>
      <c r="AI91" s="104">
        <f t="shared" si="17"/>
        <v>0</v>
      </c>
      <c r="AJ91" s="95"/>
      <c r="AK91" s="110">
        <f t="shared" si="18"/>
        <v>0</v>
      </c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ht="15.75" customHeight="1">
      <c r="A92" s="97" t="s">
        <v>290</v>
      </c>
      <c r="B92" s="98" t="s">
        <v>371</v>
      </c>
      <c r="C92" s="99"/>
      <c r="D92" s="100"/>
      <c r="E92" s="100"/>
      <c r="F92" s="102" t="s">
        <v>620</v>
      </c>
      <c r="G92" s="102" t="s">
        <v>621</v>
      </c>
      <c r="H92" s="103">
        <v>102.0</v>
      </c>
      <c r="I92" s="102" t="s">
        <v>291</v>
      </c>
      <c r="J92" s="102" t="s">
        <v>290</v>
      </c>
      <c r="K92" s="102" t="s">
        <v>289</v>
      </c>
      <c r="L92" s="102" t="s">
        <v>34</v>
      </c>
      <c r="M92" s="121" t="s">
        <v>415</v>
      </c>
      <c r="N92" s="87">
        <v>274.392525</v>
      </c>
      <c r="O92" s="104">
        <f t="shared" si="1"/>
        <v>274.3719915</v>
      </c>
      <c r="P92" s="104">
        <f t="shared" si="2"/>
        <v>43.99885034</v>
      </c>
      <c r="Q92" s="104">
        <f t="shared" si="3"/>
        <v>318.3708418</v>
      </c>
      <c r="R92" s="104">
        <f t="shared" si="4"/>
        <v>9.846520881</v>
      </c>
      <c r="S92" s="105">
        <f t="shared" si="5"/>
        <v>328.2173627</v>
      </c>
      <c r="T92" s="104">
        <f t="shared" si="6"/>
        <v>109.4057876</v>
      </c>
      <c r="U92" s="106">
        <v>437.62315027200003</v>
      </c>
      <c r="V92" s="106">
        <f t="shared" si="7"/>
        <v>175.0492601</v>
      </c>
      <c r="W92" s="107">
        <f t="shared" si="8"/>
        <v>23.85921415</v>
      </c>
      <c r="X92" s="108">
        <f t="shared" si="9"/>
        <v>461.4823644</v>
      </c>
      <c r="Y92" s="93">
        <f t="shared" si="10"/>
        <v>0.02053351704</v>
      </c>
      <c r="Z92" s="104">
        <f t="shared" si="11"/>
        <v>0</v>
      </c>
      <c r="AA92" s="104">
        <f t="shared" si="12"/>
        <v>0</v>
      </c>
      <c r="AB92" s="104">
        <f t="shared" si="13"/>
        <v>0</v>
      </c>
      <c r="AC92" s="104">
        <f t="shared" si="14"/>
        <v>0</v>
      </c>
      <c r="AD92" s="105">
        <f t="shared" si="15"/>
        <v>0</v>
      </c>
      <c r="AE92" s="109"/>
      <c r="AF92" s="109"/>
      <c r="AG92" s="109"/>
      <c r="AH92" s="104">
        <f t="shared" si="16"/>
        <v>0</v>
      </c>
      <c r="AI92" s="104">
        <f t="shared" si="17"/>
        <v>0</v>
      </c>
      <c r="AJ92" s="95"/>
      <c r="AK92" s="110">
        <f t="shared" si="18"/>
        <v>0</v>
      </c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ht="15.75" customHeight="1">
      <c r="A93" s="97" t="s">
        <v>622</v>
      </c>
      <c r="B93" s="98" t="s">
        <v>371</v>
      </c>
      <c r="C93" s="99"/>
      <c r="D93" s="100"/>
      <c r="E93" s="100"/>
      <c r="F93" s="102" t="s">
        <v>623</v>
      </c>
      <c r="G93" s="102" t="s">
        <v>624</v>
      </c>
      <c r="H93" s="103">
        <v>105.0</v>
      </c>
      <c r="I93" s="102" t="s">
        <v>296</v>
      </c>
      <c r="J93" s="102" t="s">
        <v>622</v>
      </c>
      <c r="K93" s="102" t="s">
        <v>45</v>
      </c>
      <c r="L93" s="102" t="s">
        <v>34</v>
      </c>
      <c r="M93" s="102" t="s">
        <v>294</v>
      </c>
      <c r="N93" s="87">
        <v>15.936717852000003</v>
      </c>
      <c r="O93" s="111">
        <f t="shared" si="1"/>
        <v>15.93731049</v>
      </c>
      <c r="P93" s="104">
        <f t="shared" si="2"/>
        <v>2.55573951</v>
      </c>
      <c r="Q93" s="104">
        <f t="shared" si="3"/>
        <v>18.49305</v>
      </c>
      <c r="R93" s="104">
        <f t="shared" si="4"/>
        <v>0.57195</v>
      </c>
      <c r="S93" s="105">
        <f t="shared" si="5"/>
        <v>19.065</v>
      </c>
      <c r="T93" s="104">
        <f t="shared" si="6"/>
        <v>6.355</v>
      </c>
      <c r="U93" s="106">
        <v>25.42</v>
      </c>
      <c r="V93" s="106">
        <f t="shared" si="7"/>
        <v>10.168</v>
      </c>
      <c r="W93" s="107">
        <f t="shared" si="8"/>
        <v>1.3858984</v>
      </c>
      <c r="X93" s="108">
        <f t="shared" si="9"/>
        <v>26.8058984</v>
      </c>
      <c r="Y93" s="93">
        <f t="shared" si="10"/>
        <v>-0.000592638</v>
      </c>
      <c r="Z93" s="104">
        <f t="shared" si="11"/>
        <v>0</v>
      </c>
      <c r="AA93" s="104">
        <f t="shared" si="12"/>
        <v>0</v>
      </c>
      <c r="AB93" s="104">
        <f t="shared" si="13"/>
        <v>0</v>
      </c>
      <c r="AC93" s="104">
        <f t="shared" si="14"/>
        <v>0</v>
      </c>
      <c r="AD93" s="105">
        <f t="shared" si="15"/>
        <v>0</v>
      </c>
      <c r="AE93" s="109"/>
      <c r="AF93" s="109"/>
      <c r="AG93" s="109"/>
      <c r="AH93" s="104">
        <f t="shared" si="16"/>
        <v>0</v>
      </c>
      <c r="AI93" s="104">
        <f t="shared" si="17"/>
        <v>0</v>
      </c>
      <c r="AJ93" s="95"/>
      <c r="AK93" s="110">
        <f t="shared" si="18"/>
        <v>0</v>
      </c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ht="15.75" customHeight="1">
      <c r="A94" s="97" t="s">
        <v>625</v>
      </c>
      <c r="B94" s="98" t="s">
        <v>371</v>
      </c>
      <c r="C94" s="99"/>
      <c r="D94" s="100"/>
      <c r="E94" s="100"/>
      <c r="F94" s="102" t="s">
        <v>626</v>
      </c>
      <c r="G94" s="102" t="s">
        <v>627</v>
      </c>
      <c r="H94" s="103">
        <v>106.0</v>
      </c>
      <c r="I94" s="102" t="s">
        <v>298</v>
      </c>
      <c r="J94" s="102" t="s">
        <v>625</v>
      </c>
      <c r="K94" s="102" t="s">
        <v>45</v>
      </c>
      <c r="L94" s="102" t="s">
        <v>34</v>
      </c>
      <c r="M94" s="102" t="s">
        <v>294</v>
      </c>
      <c r="N94" s="87">
        <v>120.73271100000002</v>
      </c>
      <c r="O94" s="104">
        <f t="shared" si="1"/>
        <v>120.7327596</v>
      </c>
      <c r="P94" s="104">
        <f t="shared" si="2"/>
        <v>19.36095077</v>
      </c>
      <c r="Q94" s="104">
        <f t="shared" si="3"/>
        <v>140.0937104</v>
      </c>
      <c r="R94" s="104">
        <f t="shared" si="4"/>
        <v>4.332795166</v>
      </c>
      <c r="S94" s="105">
        <f t="shared" si="5"/>
        <v>144.4265055</v>
      </c>
      <c r="T94" s="104">
        <f t="shared" si="6"/>
        <v>48.14216851</v>
      </c>
      <c r="U94" s="106">
        <v>192.56867404500002</v>
      </c>
      <c r="V94" s="106">
        <f t="shared" si="7"/>
        <v>77.02746962</v>
      </c>
      <c r="W94" s="107">
        <f t="shared" si="8"/>
        <v>10.49884411</v>
      </c>
      <c r="X94" s="108">
        <f t="shared" si="9"/>
        <v>203.0675182</v>
      </c>
      <c r="Y94" s="93">
        <f t="shared" si="10"/>
        <v>-0.00004859491617</v>
      </c>
      <c r="Z94" s="104">
        <f t="shared" si="11"/>
        <v>0</v>
      </c>
      <c r="AA94" s="104">
        <f t="shared" si="12"/>
        <v>0</v>
      </c>
      <c r="AB94" s="104">
        <f t="shared" si="13"/>
        <v>0</v>
      </c>
      <c r="AC94" s="104">
        <f t="shared" si="14"/>
        <v>0</v>
      </c>
      <c r="AD94" s="105">
        <f t="shared" si="15"/>
        <v>0</v>
      </c>
      <c r="AE94" s="109"/>
      <c r="AF94" s="109"/>
      <c r="AG94" s="109"/>
      <c r="AH94" s="104">
        <f t="shared" si="16"/>
        <v>0</v>
      </c>
      <c r="AI94" s="104">
        <f t="shared" si="17"/>
        <v>0</v>
      </c>
      <c r="AJ94" s="95"/>
      <c r="AK94" s="110">
        <f t="shared" si="18"/>
        <v>0</v>
      </c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ht="15.75" customHeight="1">
      <c r="A95" s="97" t="s">
        <v>628</v>
      </c>
      <c r="B95" s="98" t="s">
        <v>371</v>
      </c>
      <c r="C95" s="99"/>
      <c r="D95" s="100"/>
      <c r="E95" s="100"/>
      <c r="F95" s="102" t="s">
        <v>629</v>
      </c>
      <c r="G95" s="102" t="s">
        <v>630</v>
      </c>
      <c r="H95" s="103">
        <v>107.0</v>
      </c>
      <c r="I95" s="102" t="s">
        <v>300</v>
      </c>
      <c r="J95" s="102" t="s">
        <v>628</v>
      </c>
      <c r="K95" s="102" t="s">
        <v>45</v>
      </c>
      <c r="L95" s="102" t="s">
        <v>34</v>
      </c>
      <c r="M95" s="102" t="s">
        <v>209</v>
      </c>
      <c r="N95" s="87">
        <v>60.36635550000001</v>
      </c>
      <c r="O95" s="104">
        <f t="shared" si="1"/>
        <v>60.3663798</v>
      </c>
      <c r="P95" s="104">
        <f t="shared" si="2"/>
        <v>9.680475386</v>
      </c>
      <c r="Q95" s="104">
        <f t="shared" si="3"/>
        <v>70.04685518</v>
      </c>
      <c r="R95" s="104">
        <f t="shared" si="4"/>
        <v>2.166397583</v>
      </c>
      <c r="S95" s="105">
        <f t="shared" si="5"/>
        <v>72.21325277</v>
      </c>
      <c r="T95" s="104">
        <f t="shared" si="6"/>
        <v>24.07108426</v>
      </c>
      <c r="U95" s="106">
        <v>96.28433702250001</v>
      </c>
      <c r="V95" s="106">
        <f t="shared" si="7"/>
        <v>38.51373481</v>
      </c>
      <c r="W95" s="107">
        <f t="shared" si="8"/>
        <v>5.249422054</v>
      </c>
      <c r="X95" s="108">
        <f t="shared" si="9"/>
        <v>101.5337591</v>
      </c>
      <c r="Y95" s="93">
        <f t="shared" si="10"/>
        <v>-0.00002429745808</v>
      </c>
      <c r="Z95" s="104">
        <f t="shared" si="11"/>
        <v>0</v>
      </c>
      <c r="AA95" s="104">
        <f t="shared" si="12"/>
        <v>0</v>
      </c>
      <c r="AB95" s="104">
        <f t="shared" si="13"/>
        <v>0</v>
      </c>
      <c r="AC95" s="104">
        <f t="shared" si="14"/>
        <v>0</v>
      </c>
      <c r="AD95" s="105">
        <f t="shared" si="15"/>
        <v>0</v>
      </c>
      <c r="AE95" s="109"/>
      <c r="AF95" s="109"/>
      <c r="AG95" s="109"/>
      <c r="AH95" s="104">
        <f t="shared" si="16"/>
        <v>0</v>
      </c>
      <c r="AI95" s="104">
        <f t="shared" si="17"/>
        <v>0</v>
      </c>
      <c r="AJ95" s="95"/>
      <c r="AK95" s="110">
        <f t="shared" si="18"/>
        <v>0</v>
      </c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ht="15.75" customHeight="1">
      <c r="A96" s="97" t="s">
        <v>631</v>
      </c>
      <c r="B96" s="98" t="s">
        <v>371</v>
      </c>
      <c r="C96" s="99"/>
      <c r="D96" s="100"/>
      <c r="E96" s="100"/>
      <c r="F96" s="102" t="s">
        <v>632</v>
      </c>
      <c r="G96" s="102" t="s">
        <v>633</v>
      </c>
      <c r="H96" s="103">
        <v>108.0</v>
      </c>
      <c r="I96" s="102" t="s">
        <v>302</v>
      </c>
      <c r="J96" s="102" t="s">
        <v>631</v>
      </c>
      <c r="K96" s="102" t="s">
        <v>45</v>
      </c>
      <c r="L96" s="102" t="s">
        <v>34</v>
      </c>
      <c r="M96" s="102" t="s">
        <v>209</v>
      </c>
      <c r="N96" s="87">
        <v>132.80598210000002</v>
      </c>
      <c r="O96" s="113">
        <f t="shared" si="1"/>
        <v>132.8060356</v>
      </c>
      <c r="P96" s="104">
        <f t="shared" si="2"/>
        <v>21.29704585</v>
      </c>
      <c r="Q96" s="104">
        <f t="shared" si="3"/>
        <v>154.1030814</v>
      </c>
      <c r="R96" s="104">
        <f t="shared" si="4"/>
        <v>4.766074683</v>
      </c>
      <c r="S96" s="105">
        <f t="shared" si="5"/>
        <v>158.8691561</v>
      </c>
      <c r="T96" s="104">
        <f t="shared" si="6"/>
        <v>52.95638536</v>
      </c>
      <c r="U96" s="106">
        <v>211.82554144950004</v>
      </c>
      <c r="V96" s="106">
        <f t="shared" si="7"/>
        <v>84.73021658</v>
      </c>
      <c r="W96" s="107">
        <f t="shared" si="8"/>
        <v>11.54872852</v>
      </c>
      <c r="X96" s="108">
        <f t="shared" si="9"/>
        <v>223.37427</v>
      </c>
      <c r="Y96" s="93">
        <f t="shared" si="10"/>
        <v>-0.00005345440781</v>
      </c>
      <c r="Z96" s="104">
        <f t="shared" si="11"/>
        <v>0</v>
      </c>
      <c r="AA96" s="104">
        <f t="shared" si="12"/>
        <v>0</v>
      </c>
      <c r="AB96" s="104">
        <f t="shared" si="13"/>
        <v>0</v>
      </c>
      <c r="AC96" s="104">
        <f t="shared" si="14"/>
        <v>0</v>
      </c>
      <c r="AD96" s="105">
        <f t="shared" si="15"/>
        <v>0</v>
      </c>
      <c r="AE96" s="109"/>
      <c r="AF96" s="109"/>
      <c r="AG96" s="109"/>
      <c r="AH96" s="104">
        <f t="shared" si="16"/>
        <v>0</v>
      </c>
      <c r="AI96" s="104">
        <f t="shared" si="17"/>
        <v>0</v>
      </c>
      <c r="AJ96" s="95"/>
      <c r="AK96" s="110">
        <f t="shared" si="18"/>
        <v>0</v>
      </c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ht="15.75" customHeight="1">
      <c r="A97" s="97" t="s">
        <v>303</v>
      </c>
      <c r="B97" s="98" t="s">
        <v>371</v>
      </c>
      <c r="C97" s="99"/>
      <c r="D97" s="100"/>
      <c r="E97" s="100"/>
      <c r="F97" s="102" t="s">
        <v>634</v>
      </c>
      <c r="G97" s="102" t="s">
        <v>635</v>
      </c>
      <c r="H97" s="103">
        <v>109.0</v>
      </c>
      <c r="I97" s="102" t="s">
        <v>304</v>
      </c>
      <c r="J97" s="102" t="s">
        <v>303</v>
      </c>
      <c r="K97" s="102" t="s">
        <v>45</v>
      </c>
      <c r="L97" s="102" t="s">
        <v>34</v>
      </c>
      <c r="M97" s="102" t="s">
        <v>35</v>
      </c>
      <c r="N97" s="87">
        <v>60.36635550000001</v>
      </c>
      <c r="O97" s="113">
        <f t="shared" si="1"/>
        <v>60.3663798</v>
      </c>
      <c r="P97" s="104">
        <f t="shared" si="2"/>
        <v>9.680475386</v>
      </c>
      <c r="Q97" s="104">
        <f t="shared" si="3"/>
        <v>70.04685518</v>
      </c>
      <c r="R97" s="104">
        <f t="shared" si="4"/>
        <v>2.166397583</v>
      </c>
      <c r="S97" s="105">
        <f t="shared" si="5"/>
        <v>72.21325277</v>
      </c>
      <c r="T97" s="104">
        <f t="shared" si="6"/>
        <v>24.07108426</v>
      </c>
      <c r="U97" s="106">
        <v>96.28433702250001</v>
      </c>
      <c r="V97" s="106">
        <f t="shared" si="7"/>
        <v>38.51373481</v>
      </c>
      <c r="W97" s="107">
        <f t="shared" si="8"/>
        <v>5.249422054</v>
      </c>
      <c r="X97" s="108">
        <f t="shared" si="9"/>
        <v>101.5337591</v>
      </c>
      <c r="Y97" s="93">
        <f t="shared" si="10"/>
        <v>-0.00002429745808</v>
      </c>
      <c r="Z97" s="104">
        <f t="shared" si="11"/>
        <v>0</v>
      </c>
      <c r="AA97" s="104">
        <f t="shared" si="12"/>
        <v>0</v>
      </c>
      <c r="AB97" s="104">
        <f t="shared" si="13"/>
        <v>0</v>
      </c>
      <c r="AC97" s="104">
        <f t="shared" si="14"/>
        <v>0</v>
      </c>
      <c r="AD97" s="105">
        <f t="shared" si="15"/>
        <v>0</v>
      </c>
      <c r="AE97" s="109"/>
      <c r="AF97" s="109"/>
      <c r="AG97" s="109"/>
      <c r="AH97" s="104">
        <f t="shared" si="16"/>
        <v>0</v>
      </c>
      <c r="AI97" s="104">
        <f t="shared" si="17"/>
        <v>0</v>
      </c>
      <c r="AJ97" s="95"/>
      <c r="AK97" s="110">
        <f t="shared" si="18"/>
        <v>0</v>
      </c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ht="15.75" customHeight="1">
      <c r="A98" s="97" t="s">
        <v>305</v>
      </c>
      <c r="B98" s="98" t="s">
        <v>371</v>
      </c>
      <c r="C98" s="99"/>
      <c r="D98" s="100"/>
      <c r="E98" s="100"/>
      <c r="F98" s="102" t="s">
        <v>636</v>
      </c>
      <c r="G98" s="102" t="s">
        <v>637</v>
      </c>
      <c r="H98" s="103">
        <v>110.0</v>
      </c>
      <c r="I98" s="102" t="s">
        <v>306</v>
      </c>
      <c r="J98" s="102" t="s">
        <v>305</v>
      </c>
      <c r="K98" s="102" t="s">
        <v>229</v>
      </c>
      <c r="L98" s="102" t="s">
        <v>34</v>
      </c>
      <c r="M98" s="102" t="s">
        <v>35</v>
      </c>
      <c r="N98" s="87">
        <v>19.920897315</v>
      </c>
      <c r="O98" s="111">
        <f t="shared" si="1"/>
        <v>19.90596413</v>
      </c>
      <c r="P98" s="104">
        <f t="shared" si="2"/>
        <v>3.192160875</v>
      </c>
      <c r="Q98" s="104">
        <f t="shared" si="3"/>
        <v>23.098125</v>
      </c>
      <c r="R98" s="104">
        <f t="shared" si="4"/>
        <v>0.714375</v>
      </c>
      <c r="S98" s="105">
        <f t="shared" si="5"/>
        <v>23.8125</v>
      </c>
      <c r="T98" s="104">
        <f t="shared" si="6"/>
        <v>7.9375</v>
      </c>
      <c r="U98" s="106">
        <v>31.75</v>
      </c>
      <c r="V98" s="106">
        <f t="shared" si="7"/>
        <v>12.7</v>
      </c>
      <c r="W98" s="107">
        <f t="shared" si="8"/>
        <v>1.73101</v>
      </c>
      <c r="X98" s="108">
        <f t="shared" si="9"/>
        <v>33.48101</v>
      </c>
      <c r="Y98" s="93">
        <f t="shared" si="10"/>
        <v>0.01493319</v>
      </c>
      <c r="Z98" s="104">
        <f t="shared" si="11"/>
        <v>0</v>
      </c>
      <c r="AA98" s="104">
        <f t="shared" si="12"/>
        <v>0</v>
      </c>
      <c r="AB98" s="104">
        <f t="shared" si="13"/>
        <v>0</v>
      </c>
      <c r="AC98" s="104">
        <f t="shared" si="14"/>
        <v>0</v>
      </c>
      <c r="AD98" s="105">
        <f t="shared" si="15"/>
        <v>0</v>
      </c>
      <c r="AE98" s="109"/>
      <c r="AF98" s="109"/>
      <c r="AG98" s="109"/>
      <c r="AH98" s="104">
        <f t="shared" si="16"/>
        <v>0</v>
      </c>
      <c r="AI98" s="104">
        <f t="shared" si="17"/>
        <v>0</v>
      </c>
      <c r="AJ98" s="95"/>
      <c r="AK98" s="110">
        <f t="shared" si="18"/>
        <v>0</v>
      </c>
      <c r="AL98" s="6"/>
      <c r="AM98" s="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</row>
    <row r="99" ht="15.75" customHeight="1">
      <c r="A99" s="97" t="s">
        <v>638</v>
      </c>
      <c r="B99" s="98" t="s">
        <v>371</v>
      </c>
      <c r="C99" s="99"/>
      <c r="D99" s="100"/>
      <c r="E99" s="101"/>
      <c r="F99" s="101"/>
      <c r="G99" s="102" t="s">
        <v>639</v>
      </c>
      <c r="H99" s="103">
        <v>111.0</v>
      </c>
      <c r="I99" s="102" t="s">
        <v>311</v>
      </c>
      <c r="J99" s="102" t="s">
        <v>638</v>
      </c>
      <c r="K99" s="102" t="s">
        <v>135</v>
      </c>
      <c r="L99" s="102" t="s">
        <v>42</v>
      </c>
      <c r="M99" s="102" t="s">
        <v>415</v>
      </c>
      <c r="N99" s="87">
        <v>76.829907</v>
      </c>
      <c r="O99" s="104">
        <f t="shared" si="1"/>
        <v>76.8230566</v>
      </c>
      <c r="P99" s="104">
        <f t="shared" si="2"/>
        <v>12.31950153</v>
      </c>
      <c r="Q99" s="104">
        <f t="shared" si="3"/>
        <v>89.14255814</v>
      </c>
      <c r="R99" s="104">
        <f t="shared" si="4"/>
        <v>2.756986334</v>
      </c>
      <c r="S99" s="105">
        <f t="shared" si="5"/>
        <v>91.89954447</v>
      </c>
      <c r="T99" s="104">
        <f t="shared" si="6"/>
        <v>30.63318149</v>
      </c>
      <c r="U99" s="106">
        <v>122.532725964</v>
      </c>
      <c r="V99" s="106">
        <f t="shared" si="7"/>
        <v>49.01309039</v>
      </c>
      <c r="W99" s="107">
        <f t="shared" si="8"/>
        <v>6.68048422</v>
      </c>
      <c r="X99" s="108">
        <f t="shared" si="9"/>
        <v>129.2132102</v>
      </c>
      <c r="Y99" s="93">
        <f t="shared" si="10"/>
        <v>0.006850395974</v>
      </c>
      <c r="Z99" s="104">
        <f t="shared" si="11"/>
        <v>0</v>
      </c>
      <c r="AA99" s="104">
        <f t="shared" si="12"/>
        <v>0</v>
      </c>
      <c r="AB99" s="104">
        <f t="shared" si="13"/>
        <v>0</v>
      </c>
      <c r="AC99" s="104">
        <f t="shared" si="14"/>
        <v>0</v>
      </c>
      <c r="AD99" s="105">
        <f t="shared" si="15"/>
        <v>0</v>
      </c>
      <c r="AE99" s="109"/>
      <c r="AF99" s="109"/>
      <c r="AG99" s="109"/>
      <c r="AH99" s="104">
        <f t="shared" si="16"/>
        <v>0</v>
      </c>
      <c r="AI99" s="104">
        <f t="shared" si="17"/>
        <v>0</v>
      </c>
      <c r="AJ99" s="95"/>
      <c r="AK99" s="110">
        <f t="shared" si="18"/>
        <v>0</v>
      </c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</row>
    <row r="100" ht="15.75" customHeight="1">
      <c r="A100" s="97" t="s">
        <v>640</v>
      </c>
      <c r="B100" s="98" t="s">
        <v>371</v>
      </c>
      <c r="C100" s="99"/>
      <c r="D100" s="100"/>
      <c r="E100" s="101"/>
      <c r="F100" s="101"/>
      <c r="G100" s="102" t="s">
        <v>641</v>
      </c>
      <c r="H100" s="103">
        <v>142.0</v>
      </c>
      <c r="I100" s="102" t="s">
        <v>642</v>
      </c>
      <c r="J100" s="102" t="s">
        <v>640</v>
      </c>
      <c r="K100" s="102" t="s">
        <v>643</v>
      </c>
      <c r="L100" s="102" t="s">
        <v>34</v>
      </c>
      <c r="M100" s="102" t="s">
        <v>644</v>
      </c>
      <c r="N100" s="87">
        <v>209.66</v>
      </c>
      <c r="O100" s="104">
        <f t="shared" si="1"/>
        <v>209.6600844</v>
      </c>
      <c r="P100" s="104">
        <f t="shared" si="2"/>
        <v>33.62151736</v>
      </c>
      <c r="Q100" s="104">
        <f t="shared" si="3"/>
        <v>243.2816018</v>
      </c>
      <c r="R100" s="104">
        <f t="shared" si="4"/>
        <v>7.52417325</v>
      </c>
      <c r="S100" s="105">
        <f t="shared" si="5"/>
        <v>250.805775</v>
      </c>
      <c r="T100" s="104">
        <f t="shared" si="6"/>
        <v>83.601925</v>
      </c>
      <c r="U100" s="106">
        <v>334.4077</v>
      </c>
      <c r="V100" s="106">
        <f t="shared" si="7"/>
        <v>133.76308</v>
      </c>
      <c r="W100" s="107">
        <f t="shared" si="8"/>
        <v>18.2319078</v>
      </c>
      <c r="X100" s="108">
        <f t="shared" si="9"/>
        <v>352.6396078</v>
      </c>
      <c r="Y100" s="93">
        <f t="shared" si="10"/>
        <v>-0.00008438814999</v>
      </c>
      <c r="Z100" s="104">
        <f t="shared" si="11"/>
        <v>0</v>
      </c>
      <c r="AA100" s="104">
        <f t="shared" si="12"/>
        <v>0</v>
      </c>
      <c r="AB100" s="104">
        <f t="shared" si="13"/>
        <v>0</v>
      </c>
      <c r="AC100" s="104">
        <f t="shared" si="14"/>
        <v>0</v>
      </c>
      <c r="AD100" s="105">
        <f t="shared" si="15"/>
        <v>0</v>
      </c>
      <c r="AE100" s="109"/>
      <c r="AF100" s="109"/>
      <c r="AG100" s="109"/>
      <c r="AH100" s="104">
        <f t="shared" si="16"/>
        <v>0</v>
      </c>
      <c r="AI100" s="104">
        <f t="shared" si="17"/>
        <v>0</v>
      </c>
      <c r="AJ100" s="95"/>
      <c r="AK100" s="110">
        <f t="shared" si="18"/>
        <v>0</v>
      </c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</row>
    <row r="101" ht="15.75" customHeight="1">
      <c r="A101" s="97" t="s">
        <v>645</v>
      </c>
      <c r="B101" s="128" t="s">
        <v>646</v>
      </c>
      <c r="C101" s="119" t="s">
        <v>647</v>
      </c>
      <c r="D101" s="100"/>
      <c r="E101" s="101"/>
      <c r="F101" s="101"/>
      <c r="G101" s="102" t="s">
        <v>633</v>
      </c>
      <c r="H101" s="103">
        <v>3.0</v>
      </c>
      <c r="I101" s="102" t="s">
        <v>648</v>
      </c>
      <c r="J101" s="102" t="s">
        <v>645</v>
      </c>
      <c r="K101" s="102" t="s">
        <v>38</v>
      </c>
      <c r="L101" s="102" t="s">
        <v>34</v>
      </c>
      <c r="M101" s="121" t="s">
        <v>415</v>
      </c>
      <c r="N101" s="87">
        <v>164.635515</v>
      </c>
      <c r="O101" s="104">
        <f t="shared" si="1"/>
        <v>164.6286999</v>
      </c>
      <c r="P101" s="104">
        <f t="shared" si="2"/>
        <v>26.40019301</v>
      </c>
      <c r="Q101" s="104">
        <f t="shared" si="3"/>
        <v>191.028893</v>
      </c>
      <c r="R101" s="104">
        <f t="shared" si="4"/>
        <v>5.908110091</v>
      </c>
      <c r="S101" s="105">
        <f t="shared" si="5"/>
        <v>196.937003</v>
      </c>
      <c r="T101" s="104">
        <f t="shared" si="6"/>
        <v>65.64566768</v>
      </c>
      <c r="U101" s="106">
        <v>262.582670724</v>
      </c>
      <c r="V101" s="106">
        <f t="shared" si="7"/>
        <v>105.0330683</v>
      </c>
      <c r="W101" s="107">
        <f t="shared" si="8"/>
        <v>14.31600721</v>
      </c>
      <c r="X101" s="108">
        <f t="shared" si="9"/>
        <v>276.8986779</v>
      </c>
      <c r="Y101" s="93">
        <f t="shared" si="10"/>
        <v>0.006815054216</v>
      </c>
      <c r="Z101" s="104">
        <f t="shared" si="11"/>
        <v>0</v>
      </c>
      <c r="AA101" s="104">
        <f t="shared" si="12"/>
        <v>0</v>
      </c>
      <c r="AB101" s="104">
        <f t="shared" si="13"/>
        <v>0</v>
      </c>
      <c r="AC101" s="104">
        <f t="shared" si="14"/>
        <v>0</v>
      </c>
      <c r="AD101" s="105">
        <f t="shared" si="15"/>
        <v>0</v>
      </c>
      <c r="AE101" s="109"/>
      <c r="AF101" s="109"/>
      <c r="AG101" s="109"/>
      <c r="AH101" s="104">
        <f t="shared" si="16"/>
        <v>0</v>
      </c>
      <c r="AI101" s="104">
        <f t="shared" si="17"/>
        <v>0</v>
      </c>
      <c r="AJ101" s="95"/>
      <c r="AK101" s="110">
        <f t="shared" si="18"/>
        <v>0</v>
      </c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</row>
    <row r="102" ht="15.75" customHeight="1">
      <c r="A102" s="97" t="s">
        <v>649</v>
      </c>
      <c r="B102" s="129" t="s">
        <v>646</v>
      </c>
      <c r="C102" s="119" t="s">
        <v>650</v>
      </c>
      <c r="D102" s="100"/>
      <c r="E102" s="100"/>
      <c r="F102" s="100"/>
      <c r="G102" s="102" t="s">
        <v>635</v>
      </c>
      <c r="H102" s="103">
        <v>11.0</v>
      </c>
      <c r="I102" s="102" t="s">
        <v>651</v>
      </c>
      <c r="J102" s="102" t="s">
        <v>649</v>
      </c>
      <c r="K102" s="112" t="s">
        <v>652</v>
      </c>
      <c r="L102" s="102" t="s">
        <v>42</v>
      </c>
      <c r="M102" s="121" t="s">
        <v>415</v>
      </c>
      <c r="N102" s="87">
        <v>219.51402000000002</v>
      </c>
      <c r="O102" s="104">
        <f t="shared" si="1"/>
        <v>219.5003457</v>
      </c>
      <c r="P102" s="104">
        <f t="shared" si="2"/>
        <v>35.19952167</v>
      </c>
      <c r="Q102" s="104">
        <f t="shared" si="3"/>
        <v>254.6998674</v>
      </c>
      <c r="R102" s="104">
        <f t="shared" si="4"/>
        <v>7.877315486</v>
      </c>
      <c r="S102" s="105">
        <f t="shared" si="5"/>
        <v>262.5771829</v>
      </c>
      <c r="T102" s="104">
        <f t="shared" si="6"/>
        <v>87.52572762</v>
      </c>
      <c r="U102" s="106">
        <v>350.102910498</v>
      </c>
      <c r="V102" s="106">
        <f t="shared" si="7"/>
        <v>140.0411642</v>
      </c>
      <c r="W102" s="107">
        <f t="shared" si="8"/>
        <v>19.08761068</v>
      </c>
      <c r="X102" s="108">
        <f t="shared" si="9"/>
        <v>369.1905212</v>
      </c>
      <c r="Y102" s="93">
        <f t="shared" si="10"/>
        <v>0.01367428563</v>
      </c>
      <c r="Z102" s="104">
        <f t="shared" si="11"/>
        <v>0</v>
      </c>
      <c r="AA102" s="104">
        <f t="shared" si="12"/>
        <v>0</v>
      </c>
      <c r="AB102" s="104">
        <f t="shared" si="13"/>
        <v>0</v>
      </c>
      <c r="AC102" s="104">
        <f t="shared" si="14"/>
        <v>0</v>
      </c>
      <c r="AD102" s="105">
        <f t="shared" si="15"/>
        <v>0</v>
      </c>
      <c r="AE102" s="109"/>
      <c r="AF102" s="109"/>
      <c r="AG102" s="109"/>
      <c r="AH102" s="104">
        <f t="shared" si="16"/>
        <v>0</v>
      </c>
      <c r="AI102" s="104">
        <f t="shared" si="17"/>
        <v>0</v>
      </c>
      <c r="AJ102" s="95"/>
      <c r="AK102" s="110">
        <f t="shared" si="18"/>
        <v>0</v>
      </c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</row>
    <row r="103" ht="15.75" customHeight="1">
      <c r="A103" s="97" t="s">
        <v>653</v>
      </c>
      <c r="B103" s="128" t="s">
        <v>646</v>
      </c>
      <c r="C103" s="119" t="s">
        <v>650</v>
      </c>
      <c r="D103" s="100"/>
      <c r="E103" s="100"/>
      <c r="F103" s="102" t="s">
        <v>654</v>
      </c>
      <c r="G103" s="102" t="s">
        <v>655</v>
      </c>
      <c r="H103" s="103">
        <v>13.0</v>
      </c>
      <c r="I103" s="102" t="s">
        <v>65</v>
      </c>
      <c r="J103" s="102" t="s">
        <v>653</v>
      </c>
      <c r="K103" s="102" t="s">
        <v>63</v>
      </c>
      <c r="L103" s="102" t="s">
        <v>66</v>
      </c>
      <c r="M103" s="102" t="s">
        <v>376</v>
      </c>
      <c r="N103" s="87">
        <v>109.75701000000001</v>
      </c>
      <c r="O103" s="104">
        <f t="shared" si="1"/>
        <v>109.7501729</v>
      </c>
      <c r="P103" s="104">
        <f t="shared" si="2"/>
        <v>17.59976084</v>
      </c>
      <c r="Q103" s="104">
        <f t="shared" si="3"/>
        <v>127.3499337</v>
      </c>
      <c r="R103" s="104">
        <f t="shared" si="4"/>
        <v>3.938657743</v>
      </c>
      <c r="S103" s="105">
        <f t="shared" si="5"/>
        <v>131.2885914</v>
      </c>
      <c r="T103" s="104">
        <f t="shared" si="6"/>
        <v>43.76286381</v>
      </c>
      <c r="U103" s="106">
        <v>175.051455249</v>
      </c>
      <c r="V103" s="106">
        <f t="shared" si="7"/>
        <v>70.0205821</v>
      </c>
      <c r="W103" s="107">
        <f t="shared" si="8"/>
        <v>9.54380534</v>
      </c>
      <c r="X103" s="108">
        <f t="shared" si="9"/>
        <v>184.5952606</v>
      </c>
      <c r="Y103" s="93">
        <f t="shared" si="10"/>
        <v>0.006837142815</v>
      </c>
      <c r="Z103" s="104">
        <f t="shared" si="11"/>
        <v>0</v>
      </c>
      <c r="AA103" s="104">
        <f t="shared" si="12"/>
        <v>0</v>
      </c>
      <c r="AB103" s="104">
        <f t="shared" si="13"/>
        <v>0</v>
      </c>
      <c r="AC103" s="104">
        <f t="shared" si="14"/>
        <v>0</v>
      </c>
      <c r="AD103" s="105">
        <f t="shared" si="15"/>
        <v>0</v>
      </c>
      <c r="AE103" s="109"/>
      <c r="AF103" s="109"/>
      <c r="AG103" s="109"/>
      <c r="AH103" s="104">
        <f t="shared" si="16"/>
        <v>0</v>
      </c>
      <c r="AI103" s="104">
        <f t="shared" si="17"/>
        <v>0</v>
      </c>
      <c r="AJ103" s="95"/>
      <c r="AK103" s="110">
        <f t="shared" si="18"/>
        <v>0</v>
      </c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</row>
    <row r="104" ht="15.75" customHeight="1">
      <c r="A104" s="97" t="s">
        <v>656</v>
      </c>
      <c r="B104" s="128" t="s">
        <v>646</v>
      </c>
      <c r="C104" s="119" t="s">
        <v>657</v>
      </c>
      <c r="D104" s="100"/>
      <c r="E104" s="100"/>
      <c r="F104" s="102" t="s">
        <v>658</v>
      </c>
      <c r="G104" s="102" t="s">
        <v>659</v>
      </c>
      <c r="H104" s="103" t="s">
        <v>660</v>
      </c>
      <c r="I104" s="102" t="s">
        <v>100</v>
      </c>
      <c r="J104" s="102" t="s">
        <v>656</v>
      </c>
      <c r="K104" s="102" t="s">
        <v>97</v>
      </c>
      <c r="L104" s="102" t="s">
        <v>94</v>
      </c>
      <c r="M104" s="102" t="s">
        <v>60</v>
      </c>
      <c r="N104" s="130">
        <v>39.841794629999995</v>
      </c>
      <c r="O104" s="131">
        <f t="shared" si="1"/>
        <v>39.84284286</v>
      </c>
      <c r="P104" s="131">
        <f t="shared" si="2"/>
        <v>6.38927928</v>
      </c>
      <c r="Q104" s="131">
        <f t="shared" si="3"/>
        <v>46.23212214</v>
      </c>
      <c r="R104" s="131">
        <f t="shared" si="4"/>
        <v>1.429859448</v>
      </c>
      <c r="S104" s="132">
        <f t="shared" si="5"/>
        <v>47.66198159</v>
      </c>
      <c r="T104" s="131">
        <f t="shared" si="6"/>
        <v>15.8873272</v>
      </c>
      <c r="U104" s="127">
        <v>63.54930879</v>
      </c>
      <c r="V104" s="127">
        <f t="shared" si="7"/>
        <v>25.41972352</v>
      </c>
      <c r="W104" s="133">
        <f t="shared" si="8"/>
        <v>3.464708315</v>
      </c>
      <c r="X104" s="134">
        <f t="shared" si="9"/>
        <v>67.01401711</v>
      </c>
      <c r="Y104" s="93">
        <f t="shared" si="10"/>
        <v>-0.001048234324</v>
      </c>
      <c r="Z104" s="131">
        <f t="shared" si="11"/>
        <v>0</v>
      </c>
      <c r="AA104" s="131">
        <f t="shared" si="12"/>
        <v>0</v>
      </c>
      <c r="AB104" s="131">
        <f t="shared" si="13"/>
        <v>0</v>
      </c>
      <c r="AC104" s="131">
        <f t="shared" si="14"/>
        <v>0</v>
      </c>
      <c r="AD104" s="132">
        <f t="shared" si="15"/>
        <v>0</v>
      </c>
      <c r="AE104" s="135"/>
      <c r="AF104" s="135"/>
      <c r="AG104" s="135"/>
      <c r="AH104" s="131">
        <f t="shared" si="16"/>
        <v>0</v>
      </c>
      <c r="AI104" s="131">
        <f t="shared" si="17"/>
        <v>0</v>
      </c>
      <c r="AJ104" s="95"/>
      <c r="AK104" s="136">
        <f t="shared" si="18"/>
        <v>0</v>
      </c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</row>
    <row r="105" ht="15.75" customHeight="1">
      <c r="A105" s="97" t="s">
        <v>661</v>
      </c>
      <c r="B105" s="128" t="s">
        <v>646</v>
      </c>
      <c r="C105" s="119" t="s">
        <v>657</v>
      </c>
      <c r="D105" s="100"/>
      <c r="E105" s="100"/>
      <c r="F105" s="102" t="s">
        <v>662</v>
      </c>
      <c r="G105" s="102" t="s">
        <v>663</v>
      </c>
      <c r="H105" s="103" t="s">
        <v>664</v>
      </c>
      <c r="I105" s="102" t="s">
        <v>106</v>
      </c>
      <c r="J105" s="102" t="s">
        <v>661</v>
      </c>
      <c r="K105" s="102" t="s">
        <v>97</v>
      </c>
      <c r="L105" s="102" t="s">
        <v>94</v>
      </c>
      <c r="M105" s="102" t="s">
        <v>73</v>
      </c>
      <c r="N105" s="87">
        <v>48.2930844</v>
      </c>
      <c r="O105" s="113">
        <f t="shared" si="1"/>
        <v>48.29310384</v>
      </c>
      <c r="P105" s="104">
        <f t="shared" si="2"/>
        <v>7.744380309</v>
      </c>
      <c r="Q105" s="104">
        <f t="shared" si="3"/>
        <v>56.03748415</v>
      </c>
      <c r="R105" s="104">
        <f t="shared" si="4"/>
        <v>1.733118066</v>
      </c>
      <c r="S105" s="105">
        <f t="shared" si="5"/>
        <v>57.77060221</v>
      </c>
      <c r="T105" s="104">
        <f t="shared" si="6"/>
        <v>19.2568674</v>
      </c>
      <c r="U105" s="106">
        <v>77.02746961800001</v>
      </c>
      <c r="V105" s="106">
        <f t="shared" si="7"/>
        <v>30.81098785</v>
      </c>
      <c r="W105" s="107">
        <f t="shared" si="8"/>
        <v>4.199537644</v>
      </c>
      <c r="X105" s="108">
        <f t="shared" si="9"/>
        <v>81.22700726</v>
      </c>
      <c r="Y105" s="93">
        <f t="shared" si="10"/>
        <v>-0.00001943796649</v>
      </c>
      <c r="Z105" s="104">
        <f t="shared" si="11"/>
        <v>0</v>
      </c>
      <c r="AA105" s="104">
        <f t="shared" si="12"/>
        <v>0</v>
      </c>
      <c r="AB105" s="104">
        <f t="shared" si="13"/>
        <v>0</v>
      </c>
      <c r="AC105" s="104">
        <f t="shared" si="14"/>
        <v>0</v>
      </c>
      <c r="AD105" s="105">
        <f t="shared" si="15"/>
        <v>0</v>
      </c>
      <c r="AE105" s="109"/>
      <c r="AF105" s="109"/>
      <c r="AG105" s="109"/>
      <c r="AH105" s="104">
        <f t="shared" si="16"/>
        <v>0</v>
      </c>
      <c r="AI105" s="104">
        <f t="shared" si="17"/>
        <v>0</v>
      </c>
      <c r="AJ105" s="95"/>
      <c r="AK105" s="110">
        <f t="shared" si="18"/>
        <v>0</v>
      </c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</row>
    <row r="106" ht="15.75" customHeight="1">
      <c r="A106" s="97" t="s">
        <v>147</v>
      </c>
      <c r="B106" s="129" t="s">
        <v>646</v>
      </c>
      <c r="C106" s="119" t="s">
        <v>650</v>
      </c>
      <c r="D106" s="100"/>
      <c r="E106" s="100"/>
      <c r="F106" s="102" t="s">
        <v>665</v>
      </c>
      <c r="G106" s="102" t="s">
        <v>666</v>
      </c>
      <c r="H106" s="103">
        <v>45.0</v>
      </c>
      <c r="I106" s="102" t="s">
        <v>148</v>
      </c>
      <c r="J106" s="102" t="s">
        <v>147</v>
      </c>
      <c r="K106" s="102" t="s">
        <v>76</v>
      </c>
      <c r="L106" s="102" t="s">
        <v>42</v>
      </c>
      <c r="M106" s="102" t="s">
        <v>146</v>
      </c>
      <c r="N106" s="87">
        <v>265.61196420000005</v>
      </c>
      <c r="O106" s="104">
        <f t="shared" si="1"/>
        <v>265.6120711</v>
      </c>
      <c r="P106" s="104">
        <f t="shared" si="2"/>
        <v>42.5940917</v>
      </c>
      <c r="Q106" s="104">
        <f t="shared" si="3"/>
        <v>308.2061628</v>
      </c>
      <c r="R106" s="104">
        <f t="shared" si="4"/>
        <v>9.532149365</v>
      </c>
      <c r="S106" s="105">
        <f t="shared" si="5"/>
        <v>317.7383122</v>
      </c>
      <c r="T106" s="104">
        <f t="shared" si="6"/>
        <v>105.9127707</v>
      </c>
      <c r="U106" s="106">
        <v>423.6510828990001</v>
      </c>
      <c r="V106" s="106">
        <f t="shared" si="7"/>
        <v>169.4604332</v>
      </c>
      <c r="W106" s="107">
        <f t="shared" si="8"/>
        <v>23.09745704</v>
      </c>
      <c r="X106" s="108">
        <f t="shared" si="9"/>
        <v>446.7485399</v>
      </c>
      <c r="Y106" s="93">
        <f t="shared" si="10"/>
        <v>-0.0001069088156</v>
      </c>
      <c r="Z106" s="104">
        <f t="shared" si="11"/>
        <v>0</v>
      </c>
      <c r="AA106" s="104">
        <f t="shared" si="12"/>
        <v>0</v>
      </c>
      <c r="AB106" s="104">
        <f t="shared" si="13"/>
        <v>0</v>
      </c>
      <c r="AC106" s="104">
        <f t="shared" si="14"/>
        <v>0</v>
      </c>
      <c r="AD106" s="105">
        <f t="shared" si="15"/>
        <v>0</v>
      </c>
      <c r="AE106" s="109"/>
      <c r="AF106" s="109"/>
      <c r="AG106" s="109"/>
      <c r="AH106" s="104">
        <f t="shared" si="16"/>
        <v>0</v>
      </c>
      <c r="AI106" s="104">
        <f t="shared" si="17"/>
        <v>0</v>
      </c>
      <c r="AJ106" s="95"/>
      <c r="AK106" s="110">
        <f t="shared" si="18"/>
        <v>0</v>
      </c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</row>
    <row r="107" ht="15.75" customHeight="1">
      <c r="A107" s="97" t="s">
        <v>667</v>
      </c>
      <c r="B107" s="128" t="s">
        <v>646</v>
      </c>
      <c r="C107" s="119" t="s">
        <v>431</v>
      </c>
      <c r="D107" s="100"/>
      <c r="E107" s="100"/>
      <c r="F107" s="114"/>
      <c r="G107" s="102" t="s">
        <v>485</v>
      </c>
      <c r="H107" s="103">
        <v>120.0</v>
      </c>
      <c r="I107" s="124" t="s">
        <v>163</v>
      </c>
      <c r="J107" s="102" t="s">
        <v>667</v>
      </c>
      <c r="K107" s="117" t="s">
        <v>415</v>
      </c>
      <c r="L107" s="102" t="s">
        <v>165</v>
      </c>
      <c r="M107" s="124" t="s">
        <v>415</v>
      </c>
      <c r="N107" s="87">
        <v>164.635515</v>
      </c>
      <c r="O107" s="104">
        <f t="shared" si="1"/>
        <v>164.6286999</v>
      </c>
      <c r="P107" s="104">
        <f t="shared" si="2"/>
        <v>26.40019301</v>
      </c>
      <c r="Q107" s="104">
        <f t="shared" si="3"/>
        <v>191.028893</v>
      </c>
      <c r="R107" s="104">
        <f t="shared" si="4"/>
        <v>5.908110091</v>
      </c>
      <c r="S107" s="105">
        <f t="shared" si="5"/>
        <v>196.937003</v>
      </c>
      <c r="T107" s="104">
        <f t="shared" si="6"/>
        <v>65.64566768</v>
      </c>
      <c r="U107" s="106">
        <v>262.582670724</v>
      </c>
      <c r="V107" s="106">
        <f t="shared" si="7"/>
        <v>105.0330683</v>
      </c>
      <c r="W107" s="107">
        <f t="shared" si="8"/>
        <v>14.31600721</v>
      </c>
      <c r="X107" s="108">
        <f t="shared" si="9"/>
        <v>276.8986779</v>
      </c>
      <c r="Y107" s="93">
        <f t="shared" si="10"/>
        <v>0.006815054216</v>
      </c>
      <c r="Z107" s="104">
        <f t="shared" si="11"/>
        <v>0</v>
      </c>
      <c r="AA107" s="104">
        <f t="shared" si="12"/>
        <v>0</v>
      </c>
      <c r="AB107" s="104">
        <f t="shared" si="13"/>
        <v>0</v>
      </c>
      <c r="AC107" s="104">
        <f t="shared" si="14"/>
        <v>0</v>
      </c>
      <c r="AD107" s="105">
        <f t="shared" si="15"/>
        <v>0</v>
      </c>
      <c r="AE107" s="109"/>
      <c r="AF107" s="109"/>
      <c r="AG107" s="109"/>
      <c r="AH107" s="104">
        <f t="shared" si="16"/>
        <v>0</v>
      </c>
      <c r="AI107" s="104">
        <f t="shared" si="17"/>
        <v>0</v>
      </c>
      <c r="AJ107" s="95"/>
      <c r="AK107" s="110">
        <f t="shared" si="18"/>
        <v>0</v>
      </c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</row>
    <row r="108" ht="15.75" customHeight="1">
      <c r="A108" s="97" t="s">
        <v>668</v>
      </c>
      <c r="B108" s="129" t="s">
        <v>646</v>
      </c>
      <c r="C108" s="119" t="s">
        <v>431</v>
      </c>
      <c r="D108" s="100"/>
      <c r="E108" s="114"/>
      <c r="F108" s="114"/>
      <c r="G108" s="102" t="s">
        <v>669</v>
      </c>
      <c r="H108" s="103">
        <v>121.0</v>
      </c>
      <c r="I108" s="123" t="s">
        <v>670</v>
      </c>
      <c r="J108" s="102" t="s">
        <v>668</v>
      </c>
      <c r="K108" s="102" t="s">
        <v>164</v>
      </c>
      <c r="L108" s="102" t="s">
        <v>165</v>
      </c>
      <c r="M108" s="123" t="s">
        <v>415</v>
      </c>
      <c r="N108" s="87">
        <v>164.635515</v>
      </c>
      <c r="O108" s="113">
        <f t="shared" si="1"/>
        <v>164.6286999</v>
      </c>
      <c r="P108" s="104">
        <f t="shared" si="2"/>
        <v>26.40019301</v>
      </c>
      <c r="Q108" s="104">
        <f t="shared" si="3"/>
        <v>191.028893</v>
      </c>
      <c r="R108" s="104">
        <f t="shared" si="4"/>
        <v>5.908110091</v>
      </c>
      <c r="S108" s="105">
        <f t="shared" si="5"/>
        <v>196.937003</v>
      </c>
      <c r="T108" s="104">
        <f t="shared" si="6"/>
        <v>65.64566768</v>
      </c>
      <c r="U108" s="106">
        <v>262.582670724</v>
      </c>
      <c r="V108" s="106">
        <f t="shared" si="7"/>
        <v>105.0330683</v>
      </c>
      <c r="W108" s="107">
        <f t="shared" si="8"/>
        <v>14.31600721</v>
      </c>
      <c r="X108" s="108">
        <f t="shared" si="9"/>
        <v>276.8986779</v>
      </c>
      <c r="Y108" s="93">
        <f t="shared" si="10"/>
        <v>0.006815054216</v>
      </c>
      <c r="Z108" s="104">
        <f t="shared" si="11"/>
        <v>0</v>
      </c>
      <c r="AA108" s="104">
        <f t="shared" si="12"/>
        <v>0</v>
      </c>
      <c r="AB108" s="104">
        <f t="shared" si="13"/>
        <v>0</v>
      </c>
      <c r="AC108" s="104">
        <f t="shared" si="14"/>
        <v>0</v>
      </c>
      <c r="AD108" s="105">
        <f t="shared" si="15"/>
        <v>0</v>
      </c>
      <c r="AE108" s="109"/>
      <c r="AF108" s="109"/>
      <c r="AG108" s="109"/>
      <c r="AH108" s="104">
        <f t="shared" si="16"/>
        <v>0</v>
      </c>
      <c r="AI108" s="104">
        <f t="shared" si="17"/>
        <v>0</v>
      </c>
      <c r="AJ108" s="95"/>
      <c r="AK108" s="110">
        <f t="shared" si="18"/>
        <v>0</v>
      </c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</row>
    <row r="109" ht="15.75" customHeight="1">
      <c r="A109" s="97" t="s">
        <v>324</v>
      </c>
      <c r="B109" s="128" t="s">
        <v>646</v>
      </c>
      <c r="C109" s="119" t="s">
        <v>647</v>
      </c>
      <c r="D109" s="100"/>
      <c r="E109" s="101"/>
      <c r="F109" s="101"/>
      <c r="G109" s="102" t="s">
        <v>671</v>
      </c>
      <c r="H109" s="103">
        <v>134.0</v>
      </c>
      <c r="I109" s="117" t="s">
        <v>415</v>
      </c>
      <c r="J109" s="112" t="s">
        <v>672</v>
      </c>
      <c r="K109" s="117" t="s">
        <v>415</v>
      </c>
      <c r="L109" s="117" t="s">
        <v>415</v>
      </c>
      <c r="M109" s="117" t="s">
        <v>415</v>
      </c>
      <c r="N109" s="87">
        <v>54.878505000000004</v>
      </c>
      <c r="O109" s="113">
        <f t="shared" si="1"/>
        <v>54.87852709</v>
      </c>
      <c r="P109" s="104">
        <f t="shared" si="2"/>
        <v>8.800432169</v>
      </c>
      <c r="Q109" s="104">
        <f t="shared" si="3"/>
        <v>63.67895926</v>
      </c>
      <c r="R109" s="104">
        <f t="shared" si="4"/>
        <v>1.969452348</v>
      </c>
      <c r="S109" s="105">
        <f t="shared" si="5"/>
        <v>65.64841161</v>
      </c>
      <c r="T109" s="104">
        <f t="shared" si="6"/>
        <v>21.88280387</v>
      </c>
      <c r="U109" s="106">
        <v>87.531215475</v>
      </c>
      <c r="V109" s="106">
        <f t="shared" si="7"/>
        <v>35.01248619</v>
      </c>
      <c r="W109" s="107">
        <f t="shared" si="8"/>
        <v>4.772201868</v>
      </c>
      <c r="X109" s="108">
        <f t="shared" si="9"/>
        <v>92.30341734</v>
      </c>
      <c r="Y109" s="93">
        <f t="shared" si="10"/>
        <v>-0.00002208859825</v>
      </c>
      <c r="Z109" s="104">
        <f t="shared" si="11"/>
        <v>0</v>
      </c>
      <c r="AA109" s="104">
        <f t="shared" si="12"/>
        <v>0</v>
      </c>
      <c r="AB109" s="104">
        <f t="shared" si="13"/>
        <v>0</v>
      </c>
      <c r="AC109" s="104">
        <f t="shared" si="14"/>
        <v>0</v>
      </c>
      <c r="AD109" s="105">
        <f t="shared" si="15"/>
        <v>0</v>
      </c>
      <c r="AE109" s="109"/>
      <c r="AF109" s="109"/>
      <c r="AG109" s="109"/>
      <c r="AH109" s="104">
        <f t="shared" si="16"/>
        <v>0</v>
      </c>
      <c r="AI109" s="104">
        <f t="shared" si="17"/>
        <v>0</v>
      </c>
      <c r="AJ109" s="95"/>
      <c r="AK109" s="110">
        <f t="shared" si="18"/>
        <v>0</v>
      </c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</row>
    <row r="110" ht="15.75" customHeight="1">
      <c r="A110" s="97" t="s">
        <v>673</v>
      </c>
      <c r="B110" s="129" t="s">
        <v>646</v>
      </c>
      <c r="C110" s="119" t="s">
        <v>647</v>
      </c>
      <c r="D110" s="100"/>
      <c r="E110" s="101"/>
      <c r="F110" s="101"/>
      <c r="G110" s="102" t="s">
        <v>674</v>
      </c>
      <c r="H110" s="103">
        <v>136.0</v>
      </c>
      <c r="I110" s="117" t="s">
        <v>415</v>
      </c>
      <c r="J110" s="112" t="s">
        <v>673</v>
      </c>
      <c r="K110" s="117" t="s">
        <v>415</v>
      </c>
      <c r="L110" s="117" t="s">
        <v>415</v>
      </c>
      <c r="M110" s="117" t="s">
        <v>415</v>
      </c>
      <c r="N110" s="87">
        <v>0.0</v>
      </c>
      <c r="O110" s="113">
        <f t="shared" si="1"/>
        <v>0</v>
      </c>
      <c r="P110" s="104">
        <f t="shared" si="2"/>
        <v>0</v>
      </c>
      <c r="Q110" s="104">
        <f t="shared" si="3"/>
        <v>0</v>
      </c>
      <c r="R110" s="104">
        <f t="shared" si="4"/>
        <v>0</v>
      </c>
      <c r="S110" s="105">
        <f t="shared" si="5"/>
        <v>0</v>
      </c>
      <c r="T110" s="104">
        <f t="shared" si="6"/>
        <v>0</v>
      </c>
      <c r="U110" s="106">
        <v>0.0</v>
      </c>
      <c r="V110" s="106">
        <f t="shared" si="7"/>
        <v>0</v>
      </c>
      <c r="W110" s="107">
        <f t="shared" si="8"/>
        <v>0</v>
      </c>
      <c r="X110" s="108">
        <f t="shared" si="9"/>
        <v>0</v>
      </c>
      <c r="Y110" s="93">
        <f t="shared" si="10"/>
        <v>0</v>
      </c>
      <c r="Z110" s="104">
        <f t="shared" si="11"/>
        <v>0</v>
      </c>
      <c r="AA110" s="104">
        <f t="shared" si="12"/>
        <v>0</v>
      </c>
      <c r="AB110" s="104">
        <f t="shared" si="13"/>
        <v>0</v>
      </c>
      <c r="AC110" s="104">
        <f t="shared" si="14"/>
        <v>0</v>
      </c>
      <c r="AD110" s="105">
        <f t="shared" si="15"/>
        <v>0</v>
      </c>
      <c r="AE110" s="109"/>
      <c r="AF110" s="109"/>
      <c r="AG110" s="109"/>
      <c r="AH110" s="104">
        <f t="shared" si="16"/>
        <v>0</v>
      </c>
      <c r="AI110" s="104">
        <f t="shared" si="17"/>
        <v>0</v>
      </c>
      <c r="AJ110" s="95"/>
      <c r="AK110" s="110">
        <f t="shared" si="18"/>
        <v>0</v>
      </c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</row>
    <row r="111" ht="15.75" customHeight="1">
      <c r="A111" s="97" t="s">
        <v>675</v>
      </c>
      <c r="B111" s="128" t="s">
        <v>646</v>
      </c>
      <c r="C111" s="119" t="s">
        <v>650</v>
      </c>
      <c r="D111" s="100"/>
      <c r="E111" s="100"/>
      <c r="F111" s="100"/>
      <c r="G111" s="102" t="s">
        <v>676</v>
      </c>
      <c r="H111" s="103">
        <v>63.0</v>
      </c>
      <c r="I111" s="137" t="s">
        <v>202</v>
      </c>
      <c r="J111" s="102" t="s">
        <v>675</v>
      </c>
      <c r="K111" s="102" t="s">
        <v>76</v>
      </c>
      <c r="L111" s="112" t="s">
        <v>34</v>
      </c>
      <c r="M111" s="121" t="s">
        <v>415</v>
      </c>
      <c r="N111" s="87">
        <v>146.08658031000002</v>
      </c>
      <c r="O111" s="111">
        <f t="shared" si="1"/>
        <v>146.0878331</v>
      </c>
      <c r="P111" s="104">
        <f t="shared" si="2"/>
        <v>23.42694191</v>
      </c>
      <c r="Q111" s="104">
        <f t="shared" si="3"/>
        <v>169.514775</v>
      </c>
      <c r="R111" s="104">
        <f t="shared" si="4"/>
        <v>5.242725</v>
      </c>
      <c r="S111" s="105">
        <f t="shared" si="5"/>
        <v>174.7575</v>
      </c>
      <c r="T111" s="104">
        <f t="shared" si="6"/>
        <v>58.2525</v>
      </c>
      <c r="U111" s="106">
        <v>233.01</v>
      </c>
      <c r="V111" s="106">
        <f t="shared" si="7"/>
        <v>93.204</v>
      </c>
      <c r="W111" s="107">
        <f t="shared" si="8"/>
        <v>12.7037052</v>
      </c>
      <c r="X111" s="108">
        <f t="shared" si="9"/>
        <v>245.7137052</v>
      </c>
      <c r="Y111" s="93">
        <f t="shared" si="10"/>
        <v>-0.001252785</v>
      </c>
      <c r="Z111" s="104">
        <f t="shared" si="11"/>
        <v>0</v>
      </c>
      <c r="AA111" s="104">
        <f t="shared" si="12"/>
        <v>0</v>
      </c>
      <c r="AB111" s="104">
        <f t="shared" si="13"/>
        <v>0</v>
      </c>
      <c r="AC111" s="104">
        <f t="shared" si="14"/>
        <v>0</v>
      </c>
      <c r="AD111" s="105">
        <f t="shared" si="15"/>
        <v>0</v>
      </c>
      <c r="AE111" s="109"/>
      <c r="AF111" s="109"/>
      <c r="AG111" s="109"/>
      <c r="AH111" s="104">
        <f t="shared" si="16"/>
        <v>0</v>
      </c>
      <c r="AI111" s="104">
        <f t="shared" si="17"/>
        <v>0</v>
      </c>
      <c r="AJ111" s="95"/>
      <c r="AK111" s="110">
        <f t="shared" si="18"/>
        <v>0</v>
      </c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</row>
    <row r="112" ht="15.75" customHeight="1">
      <c r="A112" s="97" t="s">
        <v>218</v>
      </c>
      <c r="B112" s="128" t="s">
        <v>646</v>
      </c>
      <c r="C112" s="119" t="s">
        <v>647</v>
      </c>
      <c r="D112" s="100"/>
      <c r="E112" s="116" t="s">
        <v>372</v>
      </c>
      <c r="F112" s="102" t="s">
        <v>677</v>
      </c>
      <c r="G112" s="102" t="s">
        <v>678</v>
      </c>
      <c r="H112" s="103">
        <v>70.0</v>
      </c>
      <c r="I112" s="102" t="s">
        <v>219</v>
      </c>
      <c r="J112" s="102" t="s">
        <v>218</v>
      </c>
      <c r="K112" s="102" t="s">
        <v>217</v>
      </c>
      <c r="L112" s="102" t="s">
        <v>34</v>
      </c>
      <c r="M112" s="121" t="s">
        <v>415</v>
      </c>
      <c r="N112" s="87">
        <v>87.805608</v>
      </c>
      <c r="O112" s="104">
        <f t="shared" si="1"/>
        <v>87.79876202</v>
      </c>
      <c r="P112" s="104">
        <f t="shared" si="2"/>
        <v>14.07958797</v>
      </c>
      <c r="Q112" s="104">
        <f t="shared" si="3"/>
        <v>101.87835</v>
      </c>
      <c r="R112" s="104">
        <f t="shared" si="4"/>
        <v>3.150876804</v>
      </c>
      <c r="S112" s="105">
        <f t="shared" si="5"/>
        <v>105.0292268</v>
      </c>
      <c r="T112" s="104">
        <f t="shared" si="6"/>
        <v>35.00974226</v>
      </c>
      <c r="U112" s="106">
        <v>140.038969059</v>
      </c>
      <c r="V112" s="106">
        <f t="shared" si="7"/>
        <v>56.01558762</v>
      </c>
      <c r="W112" s="107">
        <f t="shared" si="8"/>
        <v>7.634924593</v>
      </c>
      <c r="X112" s="108">
        <f t="shared" si="9"/>
        <v>147.6738937</v>
      </c>
      <c r="Y112" s="93">
        <f t="shared" si="10"/>
        <v>0.006845978254</v>
      </c>
      <c r="Z112" s="104">
        <f t="shared" si="11"/>
        <v>0</v>
      </c>
      <c r="AA112" s="104">
        <f t="shared" si="12"/>
        <v>0</v>
      </c>
      <c r="AB112" s="104">
        <f t="shared" si="13"/>
        <v>0</v>
      </c>
      <c r="AC112" s="104">
        <f t="shared" si="14"/>
        <v>0</v>
      </c>
      <c r="AD112" s="105">
        <f t="shared" si="15"/>
        <v>0</v>
      </c>
      <c r="AE112" s="109"/>
      <c r="AF112" s="109"/>
      <c r="AG112" s="109"/>
      <c r="AH112" s="104">
        <f t="shared" si="16"/>
        <v>0</v>
      </c>
      <c r="AI112" s="104">
        <f t="shared" si="17"/>
        <v>0</v>
      </c>
      <c r="AJ112" s="95"/>
      <c r="AK112" s="110">
        <f t="shared" si="18"/>
        <v>0</v>
      </c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</row>
    <row r="113" ht="15.75" customHeight="1">
      <c r="A113" s="97" t="s">
        <v>319</v>
      </c>
      <c r="B113" s="128" t="s">
        <v>646</v>
      </c>
      <c r="C113" s="119" t="s">
        <v>650</v>
      </c>
      <c r="D113" s="100"/>
      <c r="E113" s="100"/>
      <c r="F113" s="114"/>
      <c r="G113" s="102" t="s">
        <v>679</v>
      </c>
      <c r="H113" s="103">
        <v>71.0</v>
      </c>
      <c r="I113" s="102" t="s">
        <v>320</v>
      </c>
      <c r="J113" s="102" t="s">
        <v>319</v>
      </c>
      <c r="K113" s="102" t="s">
        <v>317</v>
      </c>
      <c r="L113" s="102" t="s">
        <v>42</v>
      </c>
      <c r="M113" s="117" t="s">
        <v>415</v>
      </c>
      <c r="N113" s="87">
        <v>76.829907</v>
      </c>
      <c r="O113" s="104">
        <f t="shared" si="1"/>
        <v>76.82497575</v>
      </c>
      <c r="P113" s="104">
        <f t="shared" si="2"/>
        <v>12.31980929</v>
      </c>
      <c r="Q113" s="104">
        <f t="shared" si="3"/>
        <v>89.14478504</v>
      </c>
      <c r="R113" s="104">
        <f t="shared" si="4"/>
        <v>2.757055208</v>
      </c>
      <c r="S113" s="105">
        <f t="shared" si="5"/>
        <v>91.90184025</v>
      </c>
      <c r="T113" s="104">
        <f t="shared" si="6"/>
        <v>30.63394675</v>
      </c>
      <c r="U113" s="106">
        <v>122.535787</v>
      </c>
      <c r="V113" s="106">
        <f t="shared" si="7"/>
        <v>49.0143148</v>
      </c>
      <c r="W113" s="107">
        <f t="shared" si="8"/>
        <v>6.680651107</v>
      </c>
      <c r="X113" s="108">
        <f t="shared" si="9"/>
        <v>129.2164381</v>
      </c>
      <c r="Y113" s="93">
        <f t="shared" si="10"/>
        <v>0.004931250374</v>
      </c>
      <c r="Z113" s="104">
        <f t="shared" si="11"/>
        <v>0</v>
      </c>
      <c r="AA113" s="104">
        <f t="shared" si="12"/>
        <v>0</v>
      </c>
      <c r="AB113" s="104">
        <f t="shared" si="13"/>
        <v>0</v>
      </c>
      <c r="AC113" s="104">
        <f t="shared" si="14"/>
        <v>0</v>
      </c>
      <c r="AD113" s="105">
        <f t="shared" si="15"/>
        <v>0</v>
      </c>
      <c r="AE113" s="109"/>
      <c r="AF113" s="109"/>
      <c r="AG113" s="109"/>
      <c r="AH113" s="104">
        <f t="shared" si="16"/>
        <v>0</v>
      </c>
      <c r="AI113" s="104">
        <f t="shared" si="17"/>
        <v>0</v>
      </c>
      <c r="AJ113" s="95"/>
      <c r="AK113" s="110">
        <f t="shared" si="18"/>
        <v>0</v>
      </c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</row>
    <row r="114" ht="15.75" customHeight="1">
      <c r="A114" s="97" t="s">
        <v>680</v>
      </c>
      <c r="B114" s="129" t="s">
        <v>646</v>
      </c>
      <c r="C114" s="119" t="s">
        <v>650</v>
      </c>
      <c r="D114" s="100"/>
      <c r="E114" s="100"/>
      <c r="F114" s="100"/>
      <c r="G114" s="102" t="s">
        <v>681</v>
      </c>
      <c r="H114" s="103">
        <v>114.0</v>
      </c>
      <c r="I114" s="123" t="s">
        <v>239</v>
      </c>
      <c r="J114" s="102" t="s">
        <v>680</v>
      </c>
      <c r="K114" s="102" t="s">
        <v>41</v>
      </c>
      <c r="L114" s="102" t="s">
        <v>94</v>
      </c>
      <c r="M114" s="123" t="s">
        <v>415</v>
      </c>
      <c r="N114" s="87">
        <v>132.80598210000002</v>
      </c>
      <c r="O114" s="104">
        <f t="shared" si="1"/>
        <v>132.8060356</v>
      </c>
      <c r="P114" s="104">
        <f t="shared" si="2"/>
        <v>21.29704585</v>
      </c>
      <c r="Q114" s="104">
        <f t="shared" si="3"/>
        <v>154.1030814</v>
      </c>
      <c r="R114" s="104">
        <f t="shared" si="4"/>
        <v>4.766074683</v>
      </c>
      <c r="S114" s="105">
        <f t="shared" si="5"/>
        <v>158.8691561</v>
      </c>
      <c r="T114" s="104">
        <f t="shared" si="6"/>
        <v>52.95638536</v>
      </c>
      <c r="U114" s="106">
        <v>211.82554144950004</v>
      </c>
      <c r="V114" s="106">
        <f t="shared" si="7"/>
        <v>84.73021658</v>
      </c>
      <c r="W114" s="107">
        <f t="shared" si="8"/>
        <v>11.54872852</v>
      </c>
      <c r="X114" s="108">
        <f t="shared" si="9"/>
        <v>223.37427</v>
      </c>
      <c r="Y114" s="93">
        <f t="shared" si="10"/>
        <v>-0.00005345440781</v>
      </c>
      <c r="Z114" s="104">
        <f t="shared" si="11"/>
        <v>0</v>
      </c>
      <c r="AA114" s="104">
        <f t="shared" si="12"/>
        <v>0</v>
      </c>
      <c r="AB114" s="104">
        <f t="shared" si="13"/>
        <v>0</v>
      </c>
      <c r="AC114" s="104">
        <f t="shared" si="14"/>
        <v>0</v>
      </c>
      <c r="AD114" s="105">
        <f t="shared" si="15"/>
        <v>0</v>
      </c>
      <c r="AE114" s="109"/>
      <c r="AF114" s="109"/>
      <c r="AG114" s="109"/>
      <c r="AH114" s="104">
        <f t="shared" si="16"/>
        <v>0</v>
      </c>
      <c r="AI114" s="104">
        <f t="shared" si="17"/>
        <v>0</v>
      </c>
      <c r="AJ114" s="95"/>
      <c r="AK114" s="110">
        <f t="shared" si="18"/>
        <v>0</v>
      </c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</row>
    <row r="115" ht="15.75" customHeight="1">
      <c r="A115" s="97" t="s">
        <v>240</v>
      </c>
      <c r="B115" s="128" t="s">
        <v>646</v>
      </c>
      <c r="C115" s="119" t="s">
        <v>650</v>
      </c>
      <c r="D115" s="100"/>
      <c r="E115" s="100"/>
      <c r="F115" s="100"/>
      <c r="G115" s="102" t="s">
        <v>682</v>
      </c>
      <c r="H115" s="103">
        <v>115.0</v>
      </c>
      <c r="I115" s="124" t="s">
        <v>239</v>
      </c>
      <c r="J115" s="102" t="s">
        <v>240</v>
      </c>
      <c r="K115" s="102" t="s">
        <v>41</v>
      </c>
      <c r="L115" s="102" t="s">
        <v>94</v>
      </c>
      <c r="M115" s="123" t="s">
        <v>415</v>
      </c>
      <c r="N115" s="87">
        <v>132.80598210000002</v>
      </c>
      <c r="O115" s="104">
        <f t="shared" si="1"/>
        <v>132.8060356</v>
      </c>
      <c r="P115" s="104">
        <f t="shared" si="2"/>
        <v>21.29704585</v>
      </c>
      <c r="Q115" s="104">
        <f t="shared" si="3"/>
        <v>154.1030814</v>
      </c>
      <c r="R115" s="104">
        <f t="shared" si="4"/>
        <v>4.766074683</v>
      </c>
      <c r="S115" s="105">
        <f t="shared" si="5"/>
        <v>158.8691561</v>
      </c>
      <c r="T115" s="104">
        <f t="shared" si="6"/>
        <v>52.95638536</v>
      </c>
      <c r="U115" s="127">
        <v>211.82554144950004</v>
      </c>
      <c r="V115" s="106">
        <f t="shared" si="7"/>
        <v>84.73021658</v>
      </c>
      <c r="W115" s="107">
        <f t="shared" si="8"/>
        <v>11.54872852</v>
      </c>
      <c r="X115" s="108">
        <f t="shared" si="9"/>
        <v>223.37427</v>
      </c>
      <c r="Y115" s="93">
        <f t="shared" si="10"/>
        <v>-0.00005345440781</v>
      </c>
      <c r="Z115" s="104">
        <f t="shared" si="11"/>
        <v>0</v>
      </c>
      <c r="AA115" s="104">
        <f t="shared" si="12"/>
        <v>0</v>
      </c>
      <c r="AB115" s="104">
        <f t="shared" si="13"/>
        <v>0</v>
      </c>
      <c r="AC115" s="104">
        <f t="shared" si="14"/>
        <v>0</v>
      </c>
      <c r="AD115" s="105">
        <f t="shared" si="15"/>
        <v>0</v>
      </c>
      <c r="AE115" s="109"/>
      <c r="AF115" s="109"/>
      <c r="AG115" s="109"/>
      <c r="AH115" s="104">
        <f t="shared" si="16"/>
        <v>0</v>
      </c>
      <c r="AI115" s="104">
        <f t="shared" si="17"/>
        <v>0</v>
      </c>
      <c r="AJ115" s="95"/>
      <c r="AK115" s="110">
        <f t="shared" si="18"/>
        <v>0</v>
      </c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</row>
    <row r="116" ht="15.75" customHeight="1">
      <c r="A116" s="97" t="s">
        <v>683</v>
      </c>
      <c r="B116" s="128" t="s">
        <v>646</v>
      </c>
      <c r="C116" s="119" t="s">
        <v>650</v>
      </c>
      <c r="D116" s="100"/>
      <c r="E116" s="101"/>
      <c r="F116" s="101"/>
      <c r="G116" s="102" t="s">
        <v>684</v>
      </c>
      <c r="H116" s="103">
        <v>138.0</v>
      </c>
      <c r="I116" s="117" t="s">
        <v>415</v>
      </c>
      <c r="J116" s="112" t="s">
        <v>250</v>
      </c>
      <c r="K116" s="117" t="s">
        <v>415</v>
      </c>
      <c r="L116" s="117" t="s">
        <v>415</v>
      </c>
      <c r="M116" s="117" t="s">
        <v>415</v>
      </c>
      <c r="N116" s="87">
        <v>199.20897315000002</v>
      </c>
      <c r="O116" s="111">
        <f t="shared" si="1"/>
        <v>199.2101115</v>
      </c>
      <c r="P116" s="104">
        <f t="shared" si="2"/>
        <v>31.94573847</v>
      </c>
      <c r="Q116" s="104">
        <f t="shared" si="3"/>
        <v>231.15585</v>
      </c>
      <c r="R116" s="104">
        <f t="shared" si="4"/>
        <v>7.14915</v>
      </c>
      <c r="S116" s="105">
        <f t="shared" si="5"/>
        <v>238.305</v>
      </c>
      <c r="T116" s="104">
        <f t="shared" si="6"/>
        <v>79.435</v>
      </c>
      <c r="U116" s="106">
        <v>317.74</v>
      </c>
      <c r="V116" s="106">
        <f t="shared" si="7"/>
        <v>127.096</v>
      </c>
      <c r="W116" s="107">
        <f t="shared" si="8"/>
        <v>17.3231848</v>
      </c>
      <c r="X116" s="108">
        <f t="shared" si="9"/>
        <v>335.0631848</v>
      </c>
      <c r="Y116" s="93">
        <f t="shared" si="10"/>
        <v>-0.00113838</v>
      </c>
      <c r="Z116" s="104">
        <f t="shared" si="11"/>
        <v>0</v>
      </c>
      <c r="AA116" s="104">
        <f t="shared" si="12"/>
        <v>0</v>
      </c>
      <c r="AB116" s="104">
        <f t="shared" si="13"/>
        <v>0</v>
      </c>
      <c r="AC116" s="104">
        <f t="shared" si="14"/>
        <v>0</v>
      </c>
      <c r="AD116" s="105">
        <f t="shared" si="15"/>
        <v>0</v>
      </c>
      <c r="AE116" s="109"/>
      <c r="AF116" s="109"/>
      <c r="AG116" s="109"/>
      <c r="AH116" s="104">
        <f t="shared" si="16"/>
        <v>0</v>
      </c>
      <c r="AI116" s="104">
        <f t="shared" si="17"/>
        <v>0</v>
      </c>
      <c r="AJ116" s="95"/>
      <c r="AK116" s="110">
        <f t="shared" si="18"/>
        <v>0</v>
      </c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</row>
    <row r="117" ht="15.75" customHeight="1">
      <c r="A117" s="97" t="s">
        <v>685</v>
      </c>
      <c r="B117" s="129" t="s">
        <v>646</v>
      </c>
      <c r="C117" s="119" t="s">
        <v>650</v>
      </c>
      <c r="D117" s="100"/>
      <c r="E117" s="100"/>
      <c r="F117" s="100"/>
      <c r="G117" s="102" t="s">
        <v>639</v>
      </c>
      <c r="H117" s="103">
        <v>84.0</v>
      </c>
      <c r="I117" s="102" t="s">
        <v>333</v>
      </c>
      <c r="J117" s="102" t="s">
        <v>685</v>
      </c>
      <c r="K117" s="102" t="s">
        <v>45</v>
      </c>
      <c r="L117" s="102" t="s">
        <v>66</v>
      </c>
      <c r="M117" s="102" t="s">
        <v>118</v>
      </c>
      <c r="N117" s="87">
        <v>332.01495524999996</v>
      </c>
      <c r="O117" s="111">
        <f t="shared" si="1"/>
        <v>332.0064032</v>
      </c>
      <c r="P117" s="104">
        <f t="shared" si="2"/>
        <v>53.24122178</v>
      </c>
      <c r="Q117" s="104">
        <f t="shared" si="3"/>
        <v>385.247625</v>
      </c>
      <c r="R117" s="104">
        <f t="shared" si="4"/>
        <v>11.914875</v>
      </c>
      <c r="S117" s="105">
        <f t="shared" si="5"/>
        <v>397.1625</v>
      </c>
      <c r="T117" s="104">
        <f t="shared" si="6"/>
        <v>132.3875</v>
      </c>
      <c r="U117" s="106">
        <v>529.55</v>
      </c>
      <c r="V117" s="106">
        <f t="shared" si="7"/>
        <v>211.82</v>
      </c>
      <c r="W117" s="107">
        <f t="shared" si="8"/>
        <v>28.871066</v>
      </c>
      <c r="X117" s="108">
        <f t="shared" si="9"/>
        <v>558.421066</v>
      </c>
      <c r="Y117" s="93">
        <f t="shared" si="10"/>
        <v>0.008552025</v>
      </c>
      <c r="Z117" s="104">
        <f t="shared" si="11"/>
        <v>0</v>
      </c>
      <c r="AA117" s="104">
        <f t="shared" si="12"/>
        <v>0</v>
      </c>
      <c r="AB117" s="104">
        <f t="shared" si="13"/>
        <v>0</v>
      </c>
      <c r="AC117" s="104">
        <f t="shared" si="14"/>
        <v>0</v>
      </c>
      <c r="AD117" s="105">
        <f t="shared" si="15"/>
        <v>0</v>
      </c>
      <c r="AE117" s="109"/>
      <c r="AF117" s="109"/>
      <c r="AG117" s="109"/>
      <c r="AH117" s="104">
        <f t="shared" si="16"/>
        <v>0</v>
      </c>
      <c r="AI117" s="104">
        <f t="shared" si="17"/>
        <v>0</v>
      </c>
      <c r="AJ117" s="95"/>
      <c r="AK117" s="110">
        <f t="shared" si="18"/>
        <v>0</v>
      </c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</row>
    <row r="118" ht="15.75" customHeight="1">
      <c r="A118" s="97" t="s">
        <v>686</v>
      </c>
      <c r="B118" s="129" t="s">
        <v>646</v>
      </c>
      <c r="C118" s="119" t="s">
        <v>431</v>
      </c>
      <c r="D118" s="100"/>
      <c r="E118" s="100"/>
      <c r="F118" s="100"/>
      <c r="G118" s="102" t="s">
        <v>528</v>
      </c>
      <c r="H118" s="103">
        <v>86.0</v>
      </c>
      <c r="I118" s="124" t="s">
        <v>687</v>
      </c>
      <c r="J118" s="102" t="s">
        <v>686</v>
      </c>
      <c r="K118" s="102" t="s">
        <v>259</v>
      </c>
      <c r="L118" s="102" t="s">
        <v>42</v>
      </c>
      <c r="M118" s="121" t="s">
        <v>415</v>
      </c>
      <c r="N118" s="87">
        <v>65.854206</v>
      </c>
      <c r="O118" s="113">
        <f t="shared" si="1"/>
        <v>65.84735119</v>
      </c>
      <c r="P118" s="104">
        <f t="shared" si="2"/>
        <v>10.5594151</v>
      </c>
      <c r="Q118" s="104">
        <f t="shared" si="3"/>
        <v>76.40676629</v>
      </c>
      <c r="R118" s="104">
        <f t="shared" si="4"/>
        <v>2.363095865</v>
      </c>
      <c r="S118" s="105">
        <f t="shared" si="5"/>
        <v>78.76986215</v>
      </c>
      <c r="T118" s="104">
        <f t="shared" si="6"/>
        <v>26.25662072</v>
      </c>
      <c r="U118" s="106">
        <v>105.02648286899999</v>
      </c>
      <c r="V118" s="106">
        <f t="shared" si="7"/>
        <v>42.01059315</v>
      </c>
      <c r="W118" s="107">
        <f t="shared" si="8"/>
        <v>5.726043846</v>
      </c>
      <c r="X118" s="108">
        <f t="shared" si="9"/>
        <v>110.7525267</v>
      </c>
      <c r="Y118" s="93">
        <f t="shared" si="10"/>
        <v>0.006854813693</v>
      </c>
      <c r="Z118" s="104">
        <f t="shared" si="11"/>
        <v>0</v>
      </c>
      <c r="AA118" s="104">
        <f t="shared" si="12"/>
        <v>0</v>
      </c>
      <c r="AB118" s="104">
        <f t="shared" si="13"/>
        <v>0</v>
      </c>
      <c r="AC118" s="104">
        <f t="shared" si="14"/>
        <v>0</v>
      </c>
      <c r="AD118" s="105">
        <f t="shared" si="15"/>
        <v>0</v>
      </c>
      <c r="AE118" s="109"/>
      <c r="AF118" s="109"/>
      <c r="AG118" s="109"/>
      <c r="AH118" s="104">
        <f t="shared" si="16"/>
        <v>0</v>
      </c>
      <c r="AI118" s="104">
        <f t="shared" si="17"/>
        <v>0</v>
      </c>
      <c r="AJ118" s="95"/>
      <c r="AK118" s="110">
        <f t="shared" si="18"/>
        <v>0</v>
      </c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</row>
    <row r="119" ht="15.75" customHeight="1">
      <c r="A119" s="97" t="s">
        <v>334</v>
      </c>
      <c r="B119" s="129" t="s">
        <v>646</v>
      </c>
      <c r="C119" s="119" t="s">
        <v>647</v>
      </c>
      <c r="D119" s="100"/>
      <c r="E119" s="100"/>
      <c r="F119" s="100"/>
      <c r="G119" s="102" t="s">
        <v>688</v>
      </c>
      <c r="H119" s="103">
        <v>88.0</v>
      </c>
      <c r="I119" s="116" t="s">
        <v>689</v>
      </c>
      <c r="J119" s="102" t="s">
        <v>334</v>
      </c>
      <c r="K119" s="102" t="s">
        <v>336</v>
      </c>
      <c r="L119" s="112" t="s">
        <v>34</v>
      </c>
      <c r="M119" s="121" t="s">
        <v>415</v>
      </c>
      <c r="N119" s="87">
        <v>164.635515</v>
      </c>
      <c r="O119" s="104">
        <f t="shared" si="1"/>
        <v>164.6286999</v>
      </c>
      <c r="P119" s="104">
        <f t="shared" si="2"/>
        <v>26.40019301</v>
      </c>
      <c r="Q119" s="104">
        <f t="shared" si="3"/>
        <v>191.028893</v>
      </c>
      <c r="R119" s="104">
        <f t="shared" si="4"/>
        <v>5.908110091</v>
      </c>
      <c r="S119" s="105">
        <f t="shared" si="5"/>
        <v>196.937003</v>
      </c>
      <c r="T119" s="104">
        <f t="shared" si="6"/>
        <v>65.64566768</v>
      </c>
      <c r="U119" s="106">
        <v>262.582670724</v>
      </c>
      <c r="V119" s="106">
        <f t="shared" si="7"/>
        <v>105.0330683</v>
      </c>
      <c r="W119" s="107">
        <f t="shared" si="8"/>
        <v>14.31600721</v>
      </c>
      <c r="X119" s="108">
        <f t="shared" si="9"/>
        <v>276.8986779</v>
      </c>
      <c r="Y119" s="93">
        <f t="shared" si="10"/>
        <v>0.006815054216</v>
      </c>
      <c r="Z119" s="104">
        <f t="shared" si="11"/>
        <v>0</v>
      </c>
      <c r="AA119" s="104">
        <f t="shared" si="12"/>
        <v>0</v>
      </c>
      <c r="AB119" s="104">
        <f t="shared" si="13"/>
        <v>0</v>
      </c>
      <c r="AC119" s="104">
        <f t="shared" si="14"/>
        <v>0</v>
      </c>
      <c r="AD119" s="105">
        <f t="shared" si="15"/>
        <v>0</v>
      </c>
      <c r="AE119" s="109"/>
      <c r="AF119" s="109"/>
      <c r="AG119" s="109"/>
      <c r="AH119" s="104">
        <f t="shared" si="16"/>
        <v>0</v>
      </c>
      <c r="AI119" s="104">
        <f t="shared" si="17"/>
        <v>0</v>
      </c>
      <c r="AJ119" s="95"/>
      <c r="AK119" s="110">
        <f t="shared" si="18"/>
        <v>0</v>
      </c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</row>
    <row r="120" ht="15.75" customHeight="1">
      <c r="A120" s="97" t="s">
        <v>337</v>
      </c>
      <c r="B120" s="129" t="s">
        <v>646</v>
      </c>
      <c r="C120" s="119" t="s">
        <v>647</v>
      </c>
      <c r="D120" s="100"/>
      <c r="E120" s="100"/>
      <c r="F120" s="100"/>
      <c r="G120" s="102" t="s">
        <v>674</v>
      </c>
      <c r="H120" s="103">
        <v>123.0</v>
      </c>
      <c r="I120" s="123" t="s">
        <v>338</v>
      </c>
      <c r="J120" s="102" t="s">
        <v>337</v>
      </c>
      <c r="K120" s="102" t="s">
        <v>338</v>
      </c>
      <c r="L120" s="102" t="s">
        <v>34</v>
      </c>
      <c r="M120" s="123" t="s">
        <v>415</v>
      </c>
      <c r="N120" s="87">
        <v>164.635515</v>
      </c>
      <c r="O120" s="113">
        <f t="shared" si="1"/>
        <v>164.6286999</v>
      </c>
      <c r="P120" s="104">
        <f t="shared" si="2"/>
        <v>26.40019301</v>
      </c>
      <c r="Q120" s="104">
        <f t="shared" si="3"/>
        <v>191.028893</v>
      </c>
      <c r="R120" s="104">
        <f t="shared" si="4"/>
        <v>5.908110091</v>
      </c>
      <c r="S120" s="105">
        <f t="shared" si="5"/>
        <v>196.937003</v>
      </c>
      <c r="T120" s="104">
        <f t="shared" si="6"/>
        <v>65.64566768</v>
      </c>
      <c r="U120" s="106">
        <v>262.582670724</v>
      </c>
      <c r="V120" s="106">
        <f t="shared" si="7"/>
        <v>105.0330683</v>
      </c>
      <c r="W120" s="107">
        <f t="shared" si="8"/>
        <v>14.31600721</v>
      </c>
      <c r="X120" s="108">
        <f t="shared" si="9"/>
        <v>276.8986779</v>
      </c>
      <c r="Y120" s="93">
        <f t="shared" si="10"/>
        <v>0.006815054216</v>
      </c>
      <c r="Z120" s="104">
        <f t="shared" si="11"/>
        <v>0</v>
      </c>
      <c r="AA120" s="104">
        <f t="shared" si="12"/>
        <v>0</v>
      </c>
      <c r="AB120" s="104">
        <f t="shared" si="13"/>
        <v>0</v>
      </c>
      <c r="AC120" s="104">
        <f t="shared" si="14"/>
        <v>0</v>
      </c>
      <c r="AD120" s="105">
        <f t="shared" si="15"/>
        <v>0</v>
      </c>
      <c r="AE120" s="109"/>
      <c r="AF120" s="109"/>
      <c r="AG120" s="109"/>
      <c r="AH120" s="104">
        <f t="shared" si="16"/>
        <v>0</v>
      </c>
      <c r="AI120" s="104">
        <f t="shared" si="17"/>
        <v>0</v>
      </c>
      <c r="AJ120" s="95"/>
      <c r="AK120" s="110">
        <f t="shared" si="18"/>
        <v>0</v>
      </c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</row>
    <row r="121" ht="15.75" customHeight="1">
      <c r="A121" s="97" t="s">
        <v>265</v>
      </c>
      <c r="B121" s="129" t="s">
        <v>646</v>
      </c>
      <c r="C121" s="119" t="s">
        <v>650</v>
      </c>
      <c r="D121" s="100"/>
      <c r="E121" s="100"/>
      <c r="F121" s="100"/>
      <c r="G121" s="102" t="s">
        <v>690</v>
      </c>
      <c r="H121" s="103">
        <v>90.0</v>
      </c>
      <c r="I121" s="102" t="s">
        <v>266</v>
      </c>
      <c r="J121" s="102" t="s">
        <v>265</v>
      </c>
      <c r="K121" s="102" t="s">
        <v>33</v>
      </c>
      <c r="L121" s="112" t="s">
        <v>34</v>
      </c>
      <c r="M121" s="121" t="s">
        <v>415</v>
      </c>
      <c r="N121" s="87">
        <v>109.75701000000001</v>
      </c>
      <c r="O121" s="113">
        <f t="shared" si="1"/>
        <v>109.7501729</v>
      </c>
      <c r="P121" s="104">
        <f t="shared" si="2"/>
        <v>17.59976084</v>
      </c>
      <c r="Q121" s="104">
        <f t="shared" si="3"/>
        <v>127.3499337</v>
      </c>
      <c r="R121" s="104">
        <f t="shared" si="4"/>
        <v>3.938657743</v>
      </c>
      <c r="S121" s="105">
        <f t="shared" si="5"/>
        <v>131.2885914</v>
      </c>
      <c r="T121" s="104">
        <f t="shared" si="6"/>
        <v>43.76286381</v>
      </c>
      <c r="U121" s="106">
        <v>175.051455249</v>
      </c>
      <c r="V121" s="106">
        <f t="shared" si="7"/>
        <v>70.0205821</v>
      </c>
      <c r="W121" s="107">
        <f t="shared" si="8"/>
        <v>9.54380534</v>
      </c>
      <c r="X121" s="108">
        <f t="shared" si="9"/>
        <v>184.5952606</v>
      </c>
      <c r="Y121" s="93">
        <f t="shared" si="10"/>
        <v>0.006837142815</v>
      </c>
      <c r="Z121" s="104">
        <f t="shared" si="11"/>
        <v>0</v>
      </c>
      <c r="AA121" s="104">
        <f t="shared" si="12"/>
        <v>0</v>
      </c>
      <c r="AB121" s="104">
        <f t="shared" si="13"/>
        <v>0</v>
      </c>
      <c r="AC121" s="104">
        <f t="shared" si="14"/>
        <v>0</v>
      </c>
      <c r="AD121" s="105">
        <f t="shared" si="15"/>
        <v>0</v>
      </c>
      <c r="AE121" s="109"/>
      <c r="AF121" s="109"/>
      <c r="AG121" s="109"/>
      <c r="AH121" s="104">
        <f t="shared" si="16"/>
        <v>0</v>
      </c>
      <c r="AI121" s="104">
        <f t="shared" si="17"/>
        <v>0</v>
      </c>
      <c r="AJ121" s="95"/>
      <c r="AK121" s="110">
        <f t="shared" si="18"/>
        <v>0</v>
      </c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</row>
    <row r="122" ht="15.75" customHeight="1">
      <c r="A122" s="97" t="s">
        <v>328</v>
      </c>
      <c r="B122" s="128" t="s">
        <v>646</v>
      </c>
      <c r="C122" s="119" t="s">
        <v>647</v>
      </c>
      <c r="D122" s="100"/>
      <c r="E122" s="114"/>
      <c r="F122" s="114"/>
      <c r="G122" s="102" t="s">
        <v>681</v>
      </c>
      <c r="H122" s="103">
        <v>99.0</v>
      </c>
      <c r="I122" s="102" t="s">
        <v>691</v>
      </c>
      <c r="J122" s="102" t="s">
        <v>328</v>
      </c>
      <c r="K122" s="102" t="s">
        <v>235</v>
      </c>
      <c r="L122" s="102" t="s">
        <v>692</v>
      </c>
      <c r="M122" s="121" t="s">
        <v>415</v>
      </c>
      <c r="N122" s="87">
        <v>164.635515</v>
      </c>
      <c r="O122" s="104">
        <f t="shared" si="1"/>
        <v>164.6286999</v>
      </c>
      <c r="P122" s="104">
        <f t="shared" si="2"/>
        <v>26.40019301</v>
      </c>
      <c r="Q122" s="104">
        <f t="shared" si="3"/>
        <v>191.028893</v>
      </c>
      <c r="R122" s="104">
        <f t="shared" si="4"/>
        <v>5.908110091</v>
      </c>
      <c r="S122" s="105">
        <f t="shared" si="5"/>
        <v>196.937003</v>
      </c>
      <c r="T122" s="104">
        <f t="shared" si="6"/>
        <v>65.64566768</v>
      </c>
      <c r="U122" s="106">
        <v>262.582670724</v>
      </c>
      <c r="V122" s="106">
        <f t="shared" si="7"/>
        <v>105.0330683</v>
      </c>
      <c r="W122" s="107">
        <f t="shared" si="8"/>
        <v>14.31600721</v>
      </c>
      <c r="X122" s="108">
        <f t="shared" si="9"/>
        <v>276.8986779</v>
      </c>
      <c r="Y122" s="93">
        <f t="shared" si="10"/>
        <v>0.006815054216</v>
      </c>
      <c r="Z122" s="104">
        <f t="shared" si="11"/>
        <v>0</v>
      </c>
      <c r="AA122" s="104">
        <f t="shared" si="12"/>
        <v>0</v>
      </c>
      <c r="AB122" s="104">
        <f t="shared" si="13"/>
        <v>0</v>
      </c>
      <c r="AC122" s="104">
        <f t="shared" si="14"/>
        <v>0</v>
      </c>
      <c r="AD122" s="105">
        <f t="shared" si="15"/>
        <v>0</v>
      </c>
      <c r="AE122" s="109"/>
      <c r="AF122" s="109"/>
      <c r="AG122" s="109"/>
      <c r="AH122" s="104">
        <f t="shared" si="16"/>
        <v>0</v>
      </c>
      <c r="AI122" s="104">
        <f t="shared" si="17"/>
        <v>0</v>
      </c>
      <c r="AJ122" s="95"/>
      <c r="AK122" s="110">
        <f t="shared" si="18"/>
        <v>0</v>
      </c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</row>
    <row r="123" ht="15.75" customHeight="1">
      <c r="A123" s="97" t="s">
        <v>329</v>
      </c>
      <c r="B123" s="129" t="s">
        <v>646</v>
      </c>
      <c r="C123" s="119" t="s">
        <v>650</v>
      </c>
      <c r="D123" s="100"/>
      <c r="E123" s="114"/>
      <c r="F123" s="114"/>
      <c r="G123" s="102" t="s">
        <v>693</v>
      </c>
      <c r="H123" s="103">
        <v>101.0</v>
      </c>
      <c r="I123" s="102" t="s">
        <v>330</v>
      </c>
      <c r="J123" s="102" t="s">
        <v>329</v>
      </c>
      <c r="K123" s="102" t="s">
        <v>331</v>
      </c>
      <c r="L123" s="102" t="s">
        <v>66</v>
      </c>
      <c r="M123" s="121" t="s">
        <v>415</v>
      </c>
      <c r="N123" s="87">
        <v>164.635515</v>
      </c>
      <c r="O123" s="113">
        <f t="shared" si="1"/>
        <v>164.6286999</v>
      </c>
      <c r="P123" s="104">
        <f t="shared" si="2"/>
        <v>26.40019301</v>
      </c>
      <c r="Q123" s="104">
        <f t="shared" si="3"/>
        <v>191.028893</v>
      </c>
      <c r="R123" s="104">
        <f t="shared" si="4"/>
        <v>5.908110091</v>
      </c>
      <c r="S123" s="105">
        <f t="shared" si="5"/>
        <v>196.937003</v>
      </c>
      <c r="T123" s="104">
        <f t="shared" si="6"/>
        <v>65.64566768</v>
      </c>
      <c r="U123" s="106">
        <v>262.582670724</v>
      </c>
      <c r="V123" s="106">
        <f t="shared" si="7"/>
        <v>105.0330683</v>
      </c>
      <c r="W123" s="107">
        <f t="shared" si="8"/>
        <v>14.31600721</v>
      </c>
      <c r="X123" s="108">
        <f t="shared" si="9"/>
        <v>276.8986779</v>
      </c>
      <c r="Y123" s="93">
        <f t="shared" si="10"/>
        <v>0.006815054216</v>
      </c>
      <c r="Z123" s="104">
        <f t="shared" si="11"/>
        <v>0</v>
      </c>
      <c r="AA123" s="104">
        <f t="shared" si="12"/>
        <v>0</v>
      </c>
      <c r="AB123" s="104">
        <f t="shared" si="13"/>
        <v>0</v>
      </c>
      <c r="AC123" s="104">
        <f t="shared" si="14"/>
        <v>0</v>
      </c>
      <c r="AD123" s="105">
        <f t="shared" si="15"/>
        <v>0</v>
      </c>
      <c r="AE123" s="109"/>
      <c r="AF123" s="109"/>
      <c r="AG123" s="109"/>
      <c r="AH123" s="104">
        <f t="shared" si="16"/>
        <v>0</v>
      </c>
      <c r="AI123" s="104">
        <f t="shared" si="17"/>
        <v>0</v>
      </c>
      <c r="AJ123" s="95"/>
      <c r="AK123" s="110">
        <f t="shared" si="18"/>
        <v>0</v>
      </c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</row>
    <row r="124" ht="15.75" customHeight="1">
      <c r="A124" s="97" t="s">
        <v>694</v>
      </c>
      <c r="B124" s="138" t="s">
        <v>695</v>
      </c>
      <c r="C124" s="119" t="s">
        <v>431</v>
      </c>
      <c r="D124" s="100"/>
      <c r="E124" s="100"/>
      <c r="F124" s="114"/>
      <c r="G124" s="102" t="s">
        <v>682</v>
      </c>
      <c r="H124" s="103">
        <v>125.0</v>
      </c>
      <c r="I124" s="102" t="s">
        <v>44</v>
      </c>
      <c r="J124" s="102" t="s">
        <v>696</v>
      </c>
      <c r="K124" s="102" t="s">
        <v>45</v>
      </c>
      <c r="L124" s="102" t="s">
        <v>66</v>
      </c>
      <c r="M124" s="123" t="s">
        <v>415</v>
      </c>
      <c r="N124" s="87">
        <v>87.805608</v>
      </c>
      <c r="O124" s="104">
        <f t="shared" si="1"/>
        <v>87.79876202</v>
      </c>
      <c r="P124" s="104">
        <f t="shared" si="2"/>
        <v>14.07958797</v>
      </c>
      <c r="Q124" s="104">
        <f t="shared" si="3"/>
        <v>101.87835</v>
      </c>
      <c r="R124" s="104">
        <f t="shared" si="4"/>
        <v>3.150876804</v>
      </c>
      <c r="S124" s="105">
        <f t="shared" si="5"/>
        <v>105.0292268</v>
      </c>
      <c r="T124" s="104">
        <f t="shared" si="6"/>
        <v>35.00974226</v>
      </c>
      <c r="U124" s="106">
        <v>140.038969059</v>
      </c>
      <c r="V124" s="106">
        <f t="shared" si="7"/>
        <v>56.01558762</v>
      </c>
      <c r="W124" s="107">
        <f t="shared" si="8"/>
        <v>7.634924593</v>
      </c>
      <c r="X124" s="108">
        <f t="shared" si="9"/>
        <v>147.6738937</v>
      </c>
      <c r="Y124" s="93">
        <f t="shared" si="10"/>
        <v>0.006845978254</v>
      </c>
      <c r="Z124" s="104">
        <f t="shared" si="11"/>
        <v>0</v>
      </c>
      <c r="AA124" s="104">
        <f t="shared" si="12"/>
        <v>0</v>
      </c>
      <c r="AB124" s="104">
        <f t="shared" si="13"/>
        <v>0</v>
      </c>
      <c r="AC124" s="104">
        <f t="shared" si="14"/>
        <v>0</v>
      </c>
      <c r="AD124" s="105">
        <f t="shared" si="15"/>
        <v>0</v>
      </c>
      <c r="AE124" s="109"/>
      <c r="AF124" s="109"/>
      <c r="AG124" s="109"/>
      <c r="AH124" s="104">
        <f t="shared" si="16"/>
        <v>0</v>
      </c>
      <c r="AI124" s="104">
        <f t="shared" si="17"/>
        <v>0</v>
      </c>
      <c r="AJ124" s="95"/>
      <c r="AK124" s="110">
        <f t="shared" si="18"/>
        <v>0</v>
      </c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ht="15.75" customHeight="1">
      <c r="A125" s="97" t="s">
        <v>697</v>
      </c>
      <c r="B125" s="138" t="s">
        <v>695</v>
      </c>
      <c r="C125" s="119" t="s">
        <v>431</v>
      </c>
      <c r="D125" s="100"/>
      <c r="E125" s="101"/>
      <c r="F125" s="101"/>
      <c r="G125" s="102" t="s">
        <v>593</v>
      </c>
      <c r="H125" s="103">
        <v>128.0</v>
      </c>
      <c r="I125" s="117" t="s">
        <v>415</v>
      </c>
      <c r="J125" s="102" t="s">
        <v>697</v>
      </c>
      <c r="K125" s="117" t="s">
        <v>415</v>
      </c>
      <c r="L125" s="117" t="s">
        <v>94</v>
      </c>
      <c r="M125" s="121" t="s">
        <v>415</v>
      </c>
      <c r="N125" s="87">
        <v>164.635515</v>
      </c>
      <c r="O125" s="111">
        <f t="shared" si="1"/>
        <v>164.6270255</v>
      </c>
      <c r="P125" s="104">
        <f t="shared" si="2"/>
        <v>26.39992449</v>
      </c>
      <c r="Q125" s="104">
        <f t="shared" si="3"/>
        <v>191.02695</v>
      </c>
      <c r="R125" s="104">
        <f t="shared" si="4"/>
        <v>5.90805</v>
      </c>
      <c r="S125" s="105">
        <f t="shared" si="5"/>
        <v>196.935</v>
      </c>
      <c r="T125" s="104">
        <f t="shared" si="6"/>
        <v>65.645</v>
      </c>
      <c r="U125" s="106">
        <v>262.58</v>
      </c>
      <c r="V125" s="106">
        <f t="shared" si="7"/>
        <v>105.032</v>
      </c>
      <c r="W125" s="107">
        <f t="shared" si="8"/>
        <v>14.3158616</v>
      </c>
      <c r="X125" s="108">
        <f t="shared" si="9"/>
        <v>276.8958616</v>
      </c>
      <c r="Y125" s="93">
        <f t="shared" si="10"/>
        <v>0.00848949</v>
      </c>
      <c r="Z125" s="104">
        <f t="shared" si="11"/>
        <v>0</v>
      </c>
      <c r="AA125" s="104">
        <f t="shared" si="12"/>
        <v>0</v>
      </c>
      <c r="AB125" s="104">
        <f t="shared" si="13"/>
        <v>0</v>
      </c>
      <c r="AC125" s="104">
        <f t="shared" si="14"/>
        <v>0</v>
      </c>
      <c r="AD125" s="105">
        <f t="shared" si="15"/>
        <v>0</v>
      </c>
      <c r="AE125" s="109"/>
      <c r="AF125" s="109"/>
      <c r="AG125" s="109"/>
      <c r="AH125" s="104">
        <f t="shared" si="16"/>
        <v>0</v>
      </c>
      <c r="AI125" s="104">
        <f t="shared" si="17"/>
        <v>0</v>
      </c>
      <c r="AJ125" s="95"/>
      <c r="AK125" s="110">
        <f t="shared" si="18"/>
        <v>0</v>
      </c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ht="15.75" customHeight="1">
      <c r="A126" s="97" t="s">
        <v>698</v>
      </c>
      <c r="B126" s="138" t="s">
        <v>695</v>
      </c>
      <c r="C126" s="119" t="s">
        <v>431</v>
      </c>
      <c r="D126" s="100"/>
      <c r="E126" s="100"/>
      <c r="F126" s="114"/>
      <c r="G126" s="102" t="s">
        <v>699</v>
      </c>
      <c r="H126" s="103">
        <v>144.0</v>
      </c>
      <c r="I126" s="117" t="s">
        <v>415</v>
      </c>
      <c r="J126" s="102" t="s">
        <v>698</v>
      </c>
      <c r="K126" s="117" t="s">
        <v>415</v>
      </c>
      <c r="L126" s="102" t="s">
        <v>94</v>
      </c>
      <c r="M126" s="124" t="s">
        <v>415</v>
      </c>
      <c r="N126" s="139">
        <v>132.81</v>
      </c>
      <c r="O126" s="104">
        <f t="shared" si="1"/>
        <v>132.8088309</v>
      </c>
      <c r="P126" s="104">
        <f t="shared" si="2"/>
        <v>21.29749412</v>
      </c>
      <c r="Q126" s="104">
        <f t="shared" si="3"/>
        <v>154.106325</v>
      </c>
      <c r="R126" s="104">
        <f t="shared" si="4"/>
        <v>4.766175</v>
      </c>
      <c r="S126" s="105">
        <f t="shared" si="5"/>
        <v>158.8725</v>
      </c>
      <c r="T126" s="104">
        <f t="shared" si="6"/>
        <v>52.9575</v>
      </c>
      <c r="U126" s="118">
        <v>211.83</v>
      </c>
      <c r="V126" s="106">
        <f t="shared" si="7"/>
        <v>84.732</v>
      </c>
      <c r="W126" s="107">
        <f t="shared" si="8"/>
        <v>11.5489716</v>
      </c>
      <c r="X126" s="108">
        <f t="shared" si="9"/>
        <v>223.3789716</v>
      </c>
      <c r="Y126" s="93">
        <f t="shared" si="10"/>
        <v>0.001169115</v>
      </c>
      <c r="Z126" s="104">
        <f t="shared" si="11"/>
        <v>0</v>
      </c>
      <c r="AA126" s="104">
        <f t="shared" si="12"/>
        <v>0</v>
      </c>
      <c r="AB126" s="104">
        <f t="shared" si="13"/>
        <v>0</v>
      </c>
      <c r="AC126" s="104">
        <f t="shared" si="14"/>
        <v>0</v>
      </c>
      <c r="AD126" s="105">
        <f t="shared" si="15"/>
        <v>0</v>
      </c>
      <c r="AE126" s="109"/>
      <c r="AF126" s="109"/>
      <c r="AG126" s="109"/>
      <c r="AH126" s="104">
        <f t="shared" si="16"/>
        <v>0</v>
      </c>
      <c r="AI126" s="104">
        <f t="shared" si="17"/>
        <v>0</v>
      </c>
      <c r="AJ126" s="95"/>
      <c r="AK126" s="110">
        <f t="shared" si="18"/>
        <v>0</v>
      </c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7" ht="15.75" customHeight="1">
      <c r="A127" s="140" t="s">
        <v>700</v>
      </c>
      <c r="B127" s="138" t="s">
        <v>695</v>
      </c>
      <c r="C127" s="119" t="s">
        <v>431</v>
      </c>
      <c r="D127" s="141"/>
      <c r="E127" s="141"/>
      <c r="F127" s="142"/>
      <c r="G127" s="102" t="s">
        <v>701</v>
      </c>
      <c r="H127" s="143">
        <v>118.0</v>
      </c>
      <c r="I127" s="144" t="s">
        <v>45</v>
      </c>
      <c r="J127" s="98" t="s">
        <v>700</v>
      </c>
      <c r="K127" s="98" t="s">
        <v>45</v>
      </c>
      <c r="L127" s="98" t="s">
        <v>66</v>
      </c>
      <c r="M127" s="144" t="s">
        <v>415</v>
      </c>
      <c r="N127" s="87">
        <v>142.68411300000002</v>
      </c>
      <c r="O127" s="104">
        <f t="shared" si="1"/>
        <v>142.6772891</v>
      </c>
      <c r="P127" s="104">
        <f t="shared" si="2"/>
        <v>22.88002014</v>
      </c>
      <c r="Q127" s="104">
        <f t="shared" si="3"/>
        <v>165.5573092</v>
      </c>
      <c r="R127" s="104">
        <f t="shared" si="4"/>
        <v>5.120329152</v>
      </c>
      <c r="S127" s="105">
        <f t="shared" si="5"/>
        <v>170.6776384</v>
      </c>
      <c r="T127" s="104">
        <f t="shared" si="6"/>
        <v>56.89254613</v>
      </c>
      <c r="U127" s="106">
        <v>227.570184534</v>
      </c>
      <c r="V127" s="106">
        <f t="shared" si="7"/>
        <v>91.02807381</v>
      </c>
      <c r="W127" s="107">
        <f t="shared" si="8"/>
        <v>12.40712646</v>
      </c>
      <c r="X127" s="108">
        <f t="shared" si="9"/>
        <v>239.977311</v>
      </c>
      <c r="Y127" s="93">
        <f t="shared" si="10"/>
        <v>0.006823889656</v>
      </c>
      <c r="Z127" s="104">
        <f t="shared" si="11"/>
        <v>0</v>
      </c>
      <c r="AA127" s="104">
        <f t="shared" si="12"/>
        <v>0</v>
      </c>
      <c r="AB127" s="104">
        <f t="shared" si="13"/>
        <v>0</v>
      </c>
      <c r="AC127" s="104">
        <f t="shared" si="14"/>
        <v>0</v>
      </c>
      <c r="AD127" s="105">
        <f t="shared" si="15"/>
        <v>0</v>
      </c>
      <c r="AE127" s="109"/>
      <c r="AF127" s="109"/>
      <c r="AG127" s="109"/>
      <c r="AH127" s="104">
        <f t="shared" si="16"/>
        <v>0</v>
      </c>
      <c r="AI127" s="104">
        <f t="shared" si="17"/>
        <v>0</v>
      </c>
      <c r="AJ127" s="95"/>
      <c r="AK127" s="110">
        <f t="shared" si="18"/>
        <v>0</v>
      </c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</row>
    <row r="128" ht="15.75" customHeight="1">
      <c r="A128" s="145" t="s">
        <v>702</v>
      </c>
      <c r="B128" s="138" t="s">
        <v>695</v>
      </c>
      <c r="C128" s="119" t="s">
        <v>431</v>
      </c>
      <c r="D128" s="146"/>
      <c r="E128" s="146"/>
      <c r="F128" s="146"/>
      <c r="G128" s="81" t="s">
        <v>703</v>
      </c>
      <c r="H128" s="103">
        <v>51.0</v>
      </c>
      <c r="I128" s="102" t="s">
        <v>168</v>
      </c>
      <c r="J128" s="81" t="s">
        <v>702</v>
      </c>
      <c r="K128" s="102" t="s">
        <v>76</v>
      </c>
      <c r="L128" s="102" t="s">
        <v>165</v>
      </c>
      <c r="M128" s="102" t="s">
        <v>35</v>
      </c>
      <c r="N128" s="87">
        <v>132.80598210000002</v>
      </c>
      <c r="O128" s="113">
        <f t="shared" si="1"/>
        <v>132.8060356</v>
      </c>
      <c r="P128" s="104">
        <f t="shared" si="2"/>
        <v>21.29704585</v>
      </c>
      <c r="Q128" s="104">
        <f t="shared" si="3"/>
        <v>154.1030814</v>
      </c>
      <c r="R128" s="104">
        <f t="shared" si="4"/>
        <v>4.766074683</v>
      </c>
      <c r="S128" s="105">
        <f t="shared" si="5"/>
        <v>158.8691561</v>
      </c>
      <c r="T128" s="104">
        <f t="shared" si="6"/>
        <v>52.95638536</v>
      </c>
      <c r="U128" s="106">
        <v>211.82554144950004</v>
      </c>
      <c r="V128" s="106">
        <f t="shared" si="7"/>
        <v>84.73021658</v>
      </c>
      <c r="W128" s="107">
        <f t="shared" si="8"/>
        <v>11.54872852</v>
      </c>
      <c r="X128" s="108">
        <f t="shared" si="9"/>
        <v>223.37427</v>
      </c>
      <c r="Y128" s="93">
        <f t="shared" si="10"/>
        <v>-0.00005345440781</v>
      </c>
      <c r="Z128" s="104">
        <f t="shared" si="11"/>
        <v>0</v>
      </c>
      <c r="AA128" s="104">
        <f t="shared" si="12"/>
        <v>0</v>
      </c>
      <c r="AB128" s="104">
        <f t="shared" si="13"/>
        <v>0</v>
      </c>
      <c r="AC128" s="104">
        <f t="shared" si="14"/>
        <v>0</v>
      </c>
      <c r="AD128" s="105">
        <f t="shared" si="15"/>
        <v>0</v>
      </c>
      <c r="AE128" s="109"/>
      <c r="AF128" s="109"/>
      <c r="AG128" s="109"/>
      <c r="AH128" s="104">
        <f t="shared" si="16"/>
        <v>0</v>
      </c>
      <c r="AI128" s="104">
        <f t="shared" si="17"/>
        <v>0</v>
      </c>
      <c r="AJ128" s="95"/>
      <c r="AK128" s="110">
        <f t="shared" si="18"/>
        <v>0</v>
      </c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</row>
    <row r="129" ht="15.75" customHeight="1">
      <c r="A129" s="145" t="s">
        <v>170</v>
      </c>
      <c r="B129" s="147" t="s">
        <v>695</v>
      </c>
      <c r="C129" s="119" t="s">
        <v>431</v>
      </c>
      <c r="D129" s="146"/>
      <c r="E129" s="146"/>
      <c r="F129" s="146"/>
      <c r="G129" s="81" t="s">
        <v>671</v>
      </c>
      <c r="H129" s="103">
        <v>122.0</v>
      </c>
      <c r="I129" s="124" t="s">
        <v>41</v>
      </c>
      <c r="J129" s="81" t="s">
        <v>170</v>
      </c>
      <c r="K129" s="81" t="s">
        <v>41</v>
      </c>
      <c r="L129" s="81" t="s">
        <v>94</v>
      </c>
      <c r="M129" s="148" t="s">
        <v>415</v>
      </c>
      <c r="N129" s="87">
        <v>132.80598210000002</v>
      </c>
      <c r="O129" s="149">
        <f t="shared" si="1"/>
        <v>132.8060356</v>
      </c>
      <c r="P129" s="149">
        <f t="shared" si="2"/>
        <v>21.29704585</v>
      </c>
      <c r="Q129" s="149">
        <f t="shared" si="3"/>
        <v>154.1030814</v>
      </c>
      <c r="R129" s="149">
        <f t="shared" si="4"/>
        <v>4.766074683</v>
      </c>
      <c r="S129" s="150">
        <f t="shared" si="5"/>
        <v>158.8691561</v>
      </c>
      <c r="T129" s="149">
        <f t="shared" si="6"/>
        <v>52.95638536</v>
      </c>
      <c r="U129" s="151">
        <v>211.82554144950004</v>
      </c>
      <c r="V129" s="151">
        <f t="shared" si="7"/>
        <v>84.73021658</v>
      </c>
      <c r="W129" s="152">
        <f t="shared" si="8"/>
        <v>11.54872852</v>
      </c>
      <c r="X129" s="153">
        <f t="shared" si="9"/>
        <v>223.37427</v>
      </c>
      <c r="Y129" s="93">
        <f t="shared" si="10"/>
        <v>-0.00005345440781</v>
      </c>
      <c r="Z129" s="149">
        <f t="shared" si="11"/>
        <v>0</v>
      </c>
      <c r="AA129" s="149">
        <f t="shared" si="12"/>
        <v>0</v>
      </c>
      <c r="AB129" s="149">
        <f t="shared" si="13"/>
        <v>0</v>
      </c>
      <c r="AC129" s="149">
        <f t="shared" si="14"/>
        <v>0</v>
      </c>
      <c r="AD129" s="150">
        <f t="shared" si="15"/>
        <v>0</v>
      </c>
      <c r="AE129" s="154"/>
      <c r="AF129" s="154"/>
      <c r="AG129" s="154"/>
      <c r="AH129" s="149">
        <f t="shared" si="16"/>
        <v>0</v>
      </c>
      <c r="AI129" s="149">
        <f t="shared" si="17"/>
        <v>0</v>
      </c>
      <c r="AJ129" s="95"/>
      <c r="AK129" s="155">
        <f t="shared" si="18"/>
        <v>0</v>
      </c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0" ht="15.75" customHeight="1">
      <c r="A130" s="156" t="s">
        <v>173</v>
      </c>
      <c r="B130" s="138" t="s">
        <v>695</v>
      </c>
      <c r="C130" s="119" t="s">
        <v>431</v>
      </c>
      <c r="D130" s="157"/>
      <c r="E130" s="158"/>
      <c r="F130" s="158"/>
      <c r="G130" s="81" t="s">
        <v>669</v>
      </c>
      <c r="H130" s="159">
        <v>132.0</v>
      </c>
      <c r="I130" s="160" t="s">
        <v>174</v>
      </c>
      <c r="J130" s="161" t="s">
        <v>173</v>
      </c>
      <c r="K130" s="162" t="s">
        <v>45</v>
      </c>
      <c r="L130" s="162" t="s">
        <v>42</v>
      </c>
      <c r="M130" s="162" t="s">
        <v>415</v>
      </c>
      <c r="N130" s="163">
        <v>104.83</v>
      </c>
      <c r="O130" s="131">
        <f t="shared" si="1"/>
        <v>104.8300422</v>
      </c>
      <c r="P130" s="131">
        <f t="shared" si="2"/>
        <v>16.81075868</v>
      </c>
      <c r="Q130" s="131">
        <f t="shared" si="3"/>
        <v>121.6408009</v>
      </c>
      <c r="R130" s="131">
        <f t="shared" si="4"/>
        <v>3.762086625</v>
      </c>
      <c r="S130" s="132">
        <f t="shared" si="5"/>
        <v>125.4028875</v>
      </c>
      <c r="T130" s="131">
        <f t="shared" si="6"/>
        <v>41.8009625</v>
      </c>
      <c r="U130" s="127">
        <v>167.20385</v>
      </c>
      <c r="V130" s="127">
        <f t="shared" si="7"/>
        <v>66.88154</v>
      </c>
      <c r="W130" s="133">
        <f t="shared" si="8"/>
        <v>9.115953902</v>
      </c>
      <c r="X130" s="134">
        <f t="shared" si="9"/>
        <v>176.3198039</v>
      </c>
      <c r="Y130" s="93">
        <f t="shared" si="10"/>
        <v>-0.00004219407499</v>
      </c>
      <c r="Z130" s="131">
        <f t="shared" si="11"/>
        <v>0</v>
      </c>
      <c r="AA130" s="131">
        <f t="shared" si="12"/>
        <v>0</v>
      </c>
      <c r="AB130" s="131">
        <f t="shared" si="13"/>
        <v>0</v>
      </c>
      <c r="AC130" s="131">
        <f t="shared" si="14"/>
        <v>0</v>
      </c>
      <c r="AD130" s="132">
        <f t="shared" si="15"/>
        <v>0</v>
      </c>
      <c r="AE130" s="135"/>
      <c r="AF130" s="135"/>
      <c r="AG130" s="135"/>
      <c r="AH130" s="131">
        <f t="shared" si="16"/>
        <v>0</v>
      </c>
      <c r="AI130" s="131">
        <f t="shared" si="17"/>
        <v>0</v>
      </c>
      <c r="AJ130" s="95"/>
      <c r="AK130" s="136">
        <f t="shared" si="18"/>
        <v>0</v>
      </c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</row>
    <row r="131" ht="15.75" customHeight="1">
      <c r="A131" s="156" t="s">
        <v>189</v>
      </c>
      <c r="B131" s="147" t="s">
        <v>695</v>
      </c>
      <c r="C131" s="119" t="s">
        <v>431</v>
      </c>
      <c r="D131" s="146"/>
      <c r="E131" s="146"/>
      <c r="F131" s="146"/>
      <c r="G131" s="81" t="s">
        <v>704</v>
      </c>
      <c r="H131" s="164">
        <v>58.0</v>
      </c>
      <c r="I131" s="165" t="s">
        <v>45</v>
      </c>
      <c r="J131" s="166" t="s">
        <v>189</v>
      </c>
      <c r="K131" s="102" t="s">
        <v>45</v>
      </c>
      <c r="L131" s="102" t="s">
        <v>34</v>
      </c>
      <c r="M131" s="167" t="s">
        <v>415</v>
      </c>
      <c r="N131" s="130">
        <v>142.68411300000002</v>
      </c>
      <c r="O131" s="131">
        <f t="shared" si="1"/>
        <v>142.6772891</v>
      </c>
      <c r="P131" s="131">
        <f t="shared" si="2"/>
        <v>22.88002014</v>
      </c>
      <c r="Q131" s="131">
        <f t="shared" si="3"/>
        <v>165.5573092</v>
      </c>
      <c r="R131" s="131">
        <f t="shared" si="4"/>
        <v>5.120329152</v>
      </c>
      <c r="S131" s="132">
        <f t="shared" si="5"/>
        <v>170.6776384</v>
      </c>
      <c r="T131" s="131">
        <f t="shared" si="6"/>
        <v>56.89254613</v>
      </c>
      <c r="U131" s="127">
        <v>227.570184534</v>
      </c>
      <c r="V131" s="127">
        <f t="shared" si="7"/>
        <v>91.02807381</v>
      </c>
      <c r="W131" s="133">
        <f t="shared" si="8"/>
        <v>12.40712646</v>
      </c>
      <c r="X131" s="134">
        <f t="shared" si="9"/>
        <v>239.977311</v>
      </c>
      <c r="Y131" s="93">
        <f t="shared" si="10"/>
        <v>0.006823889656</v>
      </c>
      <c r="Z131" s="131">
        <f t="shared" si="11"/>
        <v>0</v>
      </c>
      <c r="AA131" s="131">
        <f t="shared" si="12"/>
        <v>0</v>
      </c>
      <c r="AB131" s="131">
        <f t="shared" si="13"/>
        <v>0</v>
      </c>
      <c r="AC131" s="131">
        <f t="shared" si="14"/>
        <v>0</v>
      </c>
      <c r="AD131" s="132">
        <f t="shared" si="15"/>
        <v>0</v>
      </c>
      <c r="AE131" s="135"/>
      <c r="AF131" s="135"/>
      <c r="AG131" s="135"/>
      <c r="AH131" s="131">
        <f t="shared" si="16"/>
        <v>0</v>
      </c>
      <c r="AI131" s="131">
        <f t="shared" si="17"/>
        <v>0</v>
      </c>
      <c r="AJ131" s="95"/>
      <c r="AK131" s="136">
        <f t="shared" si="18"/>
        <v>0</v>
      </c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</row>
    <row r="132" ht="15.75" customHeight="1">
      <c r="A132" s="156" t="s">
        <v>314</v>
      </c>
      <c r="B132" s="147" t="s">
        <v>695</v>
      </c>
      <c r="C132" s="119" t="s">
        <v>431</v>
      </c>
      <c r="D132" s="146"/>
      <c r="E132" s="146"/>
      <c r="F132" s="146"/>
      <c r="G132" s="102" t="s">
        <v>705</v>
      </c>
      <c r="H132" s="164">
        <v>59.0</v>
      </c>
      <c r="I132" s="81" t="s">
        <v>706</v>
      </c>
      <c r="J132" s="81" t="s">
        <v>314</v>
      </c>
      <c r="K132" s="102" t="s">
        <v>269</v>
      </c>
      <c r="L132" s="102" t="s">
        <v>66</v>
      </c>
      <c r="M132" s="167" t="s">
        <v>415</v>
      </c>
      <c r="N132" s="87">
        <v>142.68411300000002</v>
      </c>
      <c r="O132" s="104">
        <f t="shared" si="1"/>
        <v>142.6772891</v>
      </c>
      <c r="P132" s="104">
        <f t="shared" si="2"/>
        <v>22.88002014</v>
      </c>
      <c r="Q132" s="104">
        <f t="shared" si="3"/>
        <v>165.5573092</v>
      </c>
      <c r="R132" s="104">
        <f t="shared" si="4"/>
        <v>5.120329152</v>
      </c>
      <c r="S132" s="105">
        <f t="shared" si="5"/>
        <v>170.6776384</v>
      </c>
      <c r="T132" s="104">
        <f t="shared" si="6"/>
        <v>56.89254613</v>
      </c>
      <c r="U132" s="106">
        <v>227.570184534</v>
      </c>
      <c r="V132" s="106">
        <f t="shared" si="7"/>
        <v>91.02807381</v>
      </c>
      <c r="W132" s="107">
        <f t="shared" si="8"/>
        <v>12.40712646</v>
      </c>
      <c r="X132" s="108">
        <f t="shared" si="9"/>
        <v>239.977311</v>
      </c>
      <c r="Y132" s="93">
        <f t="shared" si="10"/>
        <v>0.006823889656</v>
      </c>
      <c r="Z132" s="131">
        <f t="shared" si="11"/>
        <v>0</v>
      </c>
      <c r="AA132" s="131">
        <f t="shared" si="12"/>
        <v>0</v>
      </c>
      <c r="AB132" s="131">
        <f t="shared" si="13"/>
        <v>0</v>
      </c>
      <c r="AC132" s="131">
        <f t="shared" si="14"/>
        <v>0</v>
      </c>
      <c r="AD132" s="132">
        <f t="shared" si="15"/>
        <v>0</v>
      </c>
      <c r="AE132" s="135"/>
      <c r="AF132" s="135"/>
      <c r="AG132" s="135"/>
      <c r="AH132" s="131">
        <f t="shared" si="16"/>
        <v>0</v>
      </c>
      <c r="AI132" s="131">
        <f t="shared" si="17"/>
        <v>0</v>
      </c>
      <c r="AJ132" s="95"/>
      <c r="AK132" s="136">
        <f t="shared" si="18"/>
        <v>0</v>
      </c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</row>
    <row r="133" ht="15.75" customHeight="1">
      <c r="A133" s="156" t="s">
        <v>707</v>
      </c>
      <c r="B133" s="147" t="s">
        <v>695</v>
      </c>
      <c r="C133" s="119" t="s">
        <v>431</v>
      </c>
      <c r="D133" s="146"/>
      <c r="E133" s="146"/>
      <c r="F133" s="146"/>
      <c r="G133" s="81" t="s">
        <v>684</v>
      </c>
      <c r="H133" s="164">
        <v>126.0</v>
      </c>
      <c r="I133" s="148" t="s">
        <v>708</v>
      </c>
      <c r="J133" s="81" t="s">
        <v>707</v>
      </c>
      <c r="K133" s="102" t="s">
        <v>76</v>
      </c>
      <c r="L133" s="102" t="s">
        <v>34</v>
      </c>
      <c r="M133" s="168" t="s">
        <v>415</v>
      </c>
      <c r="N133" s="130">
        <v>146.08658031000002</v>
      </c>
      <c r="O133" s="169">
        <f t="shared" si="1"/>
        <v>146.0878331</v>
      </c>
      <c r="P133" s="131">
        <f t="shared" si="2"/>
        <v>23.42694191</v>
      </c>
      <c r="Q133" s="131">
        <f t="shared" si="3"/>
        <v>169.514775</v>
      </c>
      <c r="R133" s="131">
        <f t="shared" si="4"/>
        <v>5.242725</v>
      </c>
      <c r="S133" s="132">
        <f t="shared" si="5"/>
        <v>174.7575</v>
      </c>
      <c r="T133" s="131">
        <f t="shared" si="6"/>
        <v>58.2525</v>
      </c>
      <c r="U133" s="127">
        <v>233.01</v>
      </c>
      <c r="V133" s="127">
        <f t="shared" si="7"/>
        <v>93.204</v>
      </c>
      <c r="W133" s="133">
        <f t="shared" si="8"/>
        <v>12.7037052</v>
      </c>
      <c r="X133" s="134">
        <f t="shared" si="9"/>
        <v>245.7137052</v>
      </c>
      <c r="Y133" s="93">
        <f t="shared" si="10"/>
        <v>-0.001252785</v>
      </c>
      <c r="Z133" s="131">
        <f t="shared" si="11"/>
        <v>0</v>
      </c>
      <c r="AA133" s="131">
        <f t="shared" si="12"/>
        <v>0</v>
      </c>
      <c r="AB133" s="131">
        <f t="shared" si="13"/>
        <v>0</v>
      </c>
      <c r="AC133" s="131">
        <f t="shared" si="14"/>
        <v>0</v>
      </c>
      <c r="AD133" s="132">
        <f t="shared" si="15"/>
        <v>0</v>
      </c>
      <c r="AE133" s="135"/>
      <c r="AF133" s="135"/>
      <c r="AG133" s="135"/>
      <c r="AH133" s="131">
        <f t="shared" si="16"/>
        <v>0</v>
      </c>
      <c r="AI133" s="131">
        <f t="shared" si="17"/>
        <v>0</v>
      </c>
      <c r="AJ133" s="95"/>
      <c r="AK133" s="136">
        <f t="shared" si="18"/>
        <v>0</v>
      </c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</row>
    <row r="134" ht="15.75" customHeight="1">
      <c r="A134" s="156" t="s">
        <v>709</v>
      </c>
      <c r="B134" s="147" t="s">
        <v>695</v>
      </c>
      <c r="C134" s="119" t="s">
        <v>431</v>
      </c>
      <c r="D134" s="146"/>
      <c r="E134" s="170"/>
      <c r="F134" s="170"/>
      <c r="G134" s="81" t="s">
        <v>701</v>
      </c>
      <c r="H134" s="164">
        <v>129.0</v>
      </c>
      <c r="I134" s="162" t="s">
        <v>415</v>
      </c>
      <c r="J134" s="81" t="s">
        <v>710</v>
      </c>
      <c r="K134" s="117" t="s">
        <v>415</v>
      </c>
      <c r="L134" s="117" t="s">
        <v>415</v>
      </c>
      <c r="M134" s="167" t="s">
        <v>415</v>
      </c>
      <c r="N134" s="130">
        <v>146.08658031</v>
      </c>
      <c r="O134" s="169">
        <f t="shared" si="1"/>
        <v>146.0878331</v>
      </c>
      <c r="P134" s="131">
        <f t="shared" si="2"/>
        <v>23.42694191</v>
      </c>
      <c r="Q134" s="131">
        <f t="shared" si="3"/>
        <v>169.514775</v>
      </c>
      <c r="R134" s="131">
        <f t="shared" si="4"/>
        <v>5.242725</v>
      </c>
      <c r="S134" s="132">
        <f t="shared" si="5"/>
        <v>174.7575</v>
      </c>
      <c r="T134" s="131">
        <f t="shared" si="6"/>
        <v>58.2525</v>
      </c>
      <c r="U134" s="127">
        <v>233.01</v>
      </c>
      <c r="V134" s="127">
        <f t="shared" si="7"/>
        <v>93.204</v>
      </c>
      <c r="W134" s="133">
        <f t="shared" si="8"/>
        <v>12.7037052</v>
      </c>
      <c r="X134" s="134">
        <f t="shared" si="9"/>
        <v>245.7137052</v>
      </c>
      <c r="Y134" s="93">
        <f t="shared" si="10"/>
        <v>-0.001252785</v>
      </c>
      <c r="Z134" s="131">
        <f t="shared" si="11"/>
        <v>0</v>
      </c>
      <c r="AA134" s="131">
        <f t="shared" si="12"/>
        <v>0</v>
      </c>
      <c r="AB134" s="131">
        <f t="shared" si="13"/>
        <v>0</v>
      </c>
      <c r="AC134" s="131">
        <f t="shared" si="14"/>
        <v>0</v>
      </c>
      <c r="AD134" s="132">
        <f t="shared" si="15"/>
        <v>0</v>
      </c>
      <c r="AE134" s="135"/>
      <c r="AF134" s="135"/>
      <c r="AG134" s="135"/>
      <c r="AH134" s="131">
        <f t="shared" si="16"/>
        <v>0</v>
      </c>
      <c r="AI134" s="131">
        <f t="shared" si="17"/>
        <v>0</v>
      </c>
      <c r="AJ134" s="95"/>
      <c r="AK134" s="136">
        <f t="shared" si="18"/>
        <v>0</v>
      </c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</row>
    <row r="135" ht="15.75" customHeight="1">
      <c r="A135" s="156" t="s">
        <v>711</v>
      </c>
      <c r="B135" s="147" t="s">
        <v>695</v>
      </c>
      <c r="C135" s="119" t="s">
        <v>431</v>
      </c>
      <c r="D135" s="146"/>
      <c r="E135" s="146"/>
      <c r="F135" s="146"/>
      <c r="G135" s="81" t="s">
        <v>712</v>
      </c>
      <c r="H135" s="164">
        <v>143.0</v>
      </c>
      <c r="I135" s="117" t="s">
        <v>415</v>
      </c>
      <c r="J135" s="81" t="s">
        <v>711</v>
      </c>
      <c r="K135" s="117" t="s">
        <v>415</v>
      </c>
      <c r="L135" s="117" t="s">
        <v>415</v>
      </c>
      <c r="M135" s="167" t="s">
        <v>415</v>
      </c>
      <c r="N135" s="171">
        <v>150.0</v>
      </c>
      <c r="O135" s="131">
        <f t="shared" si="1"/>
        <v>150.0000604</v>
      </c>
      <c r="P135" s="131">
        <f t="shared" si="2"/>
        <v>24.05431463</v>
      </c>
      <c r="Q135" s="131">
        <f t="shared" si="3"/>
        <v>174.054375</v>
      </c>
      <c r="R135" s="131">
        <f t="shared" si="4"/>
        <v>5.383125</v>
      </c>
      <c r="S135" s="132">
        <f t="shared" si="5"/>
        <v>179.4375</v>
      </c>
      <c r="T135" s="131">
        <f t="shared" si="6"/>
        <v>59.8125</v>
      </c>
      <c r="U135" s="118">
        <v>239.25</v>
      </c>
      <c r="V135" s="127">
        <f t="shared" si="7"/>
        <v>95.7</v>
      </c>
      <c r="W135" s="133">
        <f t="shared" si="8"/>
        <v>13.04391</v>
      </c>
      <c r="X135" s="134">
        <f t="shared" si="9"/>
        <v>252.29391</v>
      </c>
      <c r="Y135" s="93">
        <f t="shared" si="10"/>
        <v>-0.000060375</v>
      </c>
      <c r="Z135" s="131">
        <f t="shared" si="11"/>
        <v>0</v>
      </c>
      <c r="AA135" s="131">
        <f t="shared" si="12"/>
        <v>0</v>
      </c>
      <c r="AB135" s="131">
        <f t="shared" si="13"/>
        <v>0</v>
      </c>
      <c r="AC135" s="131">
        <f t="shared" si="14"/>
        <v>0</v>
      </c>
      <c r="AD135" s="132">
        <f t="shared" si="15"/>
        <v>0</v>
      </c>
      <c r="AE135" s="135"/>
      <c r="AF135" s="135"/>
      <c r="AG135" s="135"/>
      <c r="AH135" s="131">
        <f t="shared" si="16"/>
        <v>0</v>
      </c>
      <c r="AI135" s="131">
        <f t="shared" si="17"/>
        <v>0</v>
      </c>
      <c r="AJ135" s="95"/>
      <c r="AK135" s="136">
        <f t="shared" si="18"/>
        <v>0</v>
      </c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</row>
    <row r="136" ht="15.75" customHeight="1">
      <c r="A136" s="156" t="s">
        <v>713</v>
      </c>
      <c r="B136" s="147" t="s">
        <v>695</v>
      </c>
      <c r="C136" s="119" t="s">
        <v>431</v>
      </c>
      <c r="D136" s="146"/>
      <c r="E136" s="146"/>
      <c r="F136" s="146"/>
      <c r="G136" s="81" t="s">
        <v>637</v>
      </c>
      <c r="H136" s="164">
        <v>79.0</v>
      </c>
      <c r="I136" s="124" t="s">
        <v>232</v>
      </c>
      <c r="J136" s="81" t="s">
        <v>713</v>
      </c>
      <c r="K136" s="102" t="s">
        <v>232</v>
      </c>
      <c r="L136" s="102" t="s">
        <v>42</v>
      </c>
      <c r="M136" s="167" t="s">
        <v>415</v>
      </c>
      <c r="N136" s="130">
        <v>164.635515</v>
      </c>
      <c r="O136" s="131">
        <f t="shared" si="1"/>
        <v>164.6286999</v>
      </c>
      <c r="P136" s="131">
        <f t="shared" si="2"/>
        <v>26.40019301</v>
      </c>
      <c r="Q136" s="131">
        <f t="shared" si="3"/>
        <v>191.028893</v>
      </c>
      <c r="R136" s="131">
        <f t="shared" si="4"/>
        <v>5.908110091</v>
      </c>
      <c r="S136" s="132">
        <f t="shared" si="5"/>
        <v>196.937003</v>
      </c>
      <c r="T136" s="131">
        <f t="shared" si="6"/>
        <v>65.64566768</v>
      </c>
      <c r="U136" s="127">
        <v>262.582670724</v>
      </c>
      <c r="V136" s="127">
        <f t="shared" si="7"/>
        <v>105.0330683</v>
      </c>
      <c r="W136" s="133">
        <f t="shared" si="8"/>
        <v>14.31600721</v>
      </c>
      <c r="X136" s="134">
        <f t="shared" si="9"/>
        <v>276.8986779</v>
      </c>
      <c r="Y136" s="93">
        <f t="shared" si="10"/>
        <v>0.006815054216</v>
      </c>
      <c r="Z136" s="131">
        <f t="shared" si="11"/>
        <v>0</v>
      </c>
      <c r="AA136" s="131">
        <f t="shared" si="12"/>
        <v>0</v>
      </c>
      <c r="AB136" s="131">
        <f t="shared" si="13"/>
        <v>0</v>
      </c>
      <c r="AC136" s="131">
        <f t="shared" si="14"/>
        <v>0</v>
      </c>
      <c r="AD136" s="132">
        <f t="shared" si="15"/>
        <v>0</v>
      </c>
      <c r="AE136" s="135"/>
      <c r="AF136" s="135"/>
      <c r="AG136" s="135"/>
      <c r="AH136" s="131">
        <f t="shared" si="16"/>
        <v>0</v>
      </c>
      <c r="AI136" s="131">
        <f t="shared" si="17"/>
        <v>0</v>
      </c>
      <c r="AJ136" s="95"/>
      <c r="AK136" s="136">
        <f t="shared" si="18"/>
        <v>0</v>
      </c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37" ht="15.75" customHeight="1">
      <c r="A137" s="156" t="s">
        <v>260</v>
      </c>
      <c r="B137" s="147" t="s">
        <v>695</v>
      </c>
      <c r="C137" s="119" t="s">
        <v>431</v>
      </c>
      <c r="D137" s="146"/>
      <c r="E137" s="146"/>
      <c r="F137" s="146"/>
      <c r="G137" s="102" t="s">
        <v>714</v>
      </c>
      <c r="H137" s="164">
        <v>85.0</v>
      </c>
      <c r="I137" s="123" t="s">
        <v>687</v>
      </c>
      <c r="J137" s="81" t="s">
        <v>260</v>
      </c>
      <c r="K137" s="102" t="s">
        <v>259</v>
      </c>
      <c r="L137" s="102" t="s">
        <v>34</v>
      </c>
      <c r="M137" s="167" t="s">
        <v>415</v>
      </c>
      <c r="N137" s="130">
        <v>65.854206</v>
      </c>
      <c r="O137" s="131">
        <f t="shared" si="1"/>
        <v>65.84735119</v>
      </c>
      <c r="P137" s="131">
        <f t="shared" si="2"/>
        <v>10.5594151</v>
      </c>
      <c r="Q137" s="131">
        <f t="shared" si="3"/>
        <v>76.40676629</v>
      </c>
      <c r="R137" s="131">
        <f t="shared" si="4"/>
        <v>2.363095865</v>
      </c>
      <c r="S137" s="132">
        <f t="shared" si="5"/>
        <v>78.76986215</v>
      </c>
      <c r="T137" s="131">
        <f t="shared" si="6"/>
        <v>26.25662072</v>
      </c>
      <c r="U137" s="127">
        <v>105.02648286899999</v>
      </c>
      <c r="V137" s="127">
        <f t="shared" si="7"/>
        <v>42.01059315</v>
      </c>
      <c r="W137" s="133">
        <f t="shared" si="8"/>
        <v>5.726043846</v>
      </c>
      <c r="X137" s="134">
        <f t="shared" si="9"/>
        <v>110.7525267</v>
      </c>
      <c r="Y137" s="93">
        <f t="shared" si="10"/>
        <v>0.006854813693</v>
      </c>
      <c r="Z137" s="131">
        <f t="shared" si="11"/>
        <v>0</v>
      </c>
      <c r="AA137" s="131">
        <f t="shared" si="12"/>
        <v>0</v>
      </c>
      <c r="AB137" s="131">
        <f t="shared" si="13"/>
        <v>0</v>
      </c>
      <c r="AC137" s="131">
        <f t="shared" si="14"/>
        <v>0</v>
      </c>
      <c r="AD137" s="132">
        <f t="shared" si="15"/>
        <v>0</v>
      </c>
      <c r="AE137" s="135"/>
      <c r="AF137" s="135"/>
      <c r="AG137" s="135"/>
      <c r="AH137" s="131">
        <f t="shared" si="16"/>
        <v>0</v>
      </c>
      <c r="AI137" s="131">
        <f t="shared" si="17"/>
        <v>0</v>
      </c>
      <c r="AJ137" s="95"/>
      <c r="AK137" s="136">
        <f t="shared" si="18"/>
        <v>0</v>
      </c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</row>
    <row r="138" ht="15.75" customHeight="1">
      <c r="A138" s="156" t="s">
        <v>715</v>
      </c>
      <c r="B138" s="147" t="s">
        <v>695</v>
      </c>
      <c r="C138" s="119" t="s">
        <v>431</v>
      </c>
      <c r="D138" s="146"/>
      <c r="E138" s="146"/>
      <c r="F138" s="146"/>
      <c r="G138" s="102" t="s">
        <v>432</v>
      </c>
      <c r="H138" s="164">
        <v>119.0</v>
      </c>
      <c r="I138" s="148" t="s">
        <v>716</v>
      </c>
      <c r="J138" s="81" t="s">
        <v>715</v>
      </c>
      <c r="K138" s="125" t="s">
        <v>45</v>
      </c>
      <c r="L138" s="102" t="s">
        <v>66</v>
      </c>
      <c r="M138" s="168" t="s">
        <v>415</v>
      </c>
      <c r="N138" s="130">
        <v>142.68411300000002</v>
      </c>
      <c r="O138" s="131">
        <f t="shared" si="1"/>
        <v>142.6772891</v>
      </c>
      <c r="P138" s="131">
        <f t="shared" si="2"/>
        <v>22.88002014</v>
      </c>
      <c r="Q138" s="131">
        <f t="shared" si="3"/>
        <v>165.5573092</v>
      </c>
      <c r="R138" s="131">
        <f t="shared" si="4"/>
        <v>5.120329152</v>
      </c>
      <c r="S138" s="132">
        <f t="shared" si="5"/>
        <v>170.6776384</v>
      </c>
      <c r="T138" s="131">
        <f t="shared" si="6"/>
        <v>56.89254613</v>
      </c>
      <c r="U138" s="127">
        <v>227.570184534</v>
      </c>
      <c r="V138" s="127">
        <f t="shared" si="7"/>
        <v>91.02807381</v>
      </c>
      <c r="W138" s="133">
        <f t="shared" si="8"/>
        <v>12.40712646</v>
      </c>
      <c r="X138" s="134">
        <f t="shared" si="9"/>
        <v>239.977311</v>
      </c>
      <c r="Y138" s="93">
        <f t="shared" si="10"/>
        <v>0.006823889656</v>
      </c>
      <c r="Z138" s="131">
        <f t="shared" si="11"/>
        <v>0</v>
      </c>
      <c r="AA138" s="131">
        <f t="shared" si="12"/>
        <v>0</v>
      </c>
      <c r="AB138" s="131">
        <f t="shared" si="13"/>
        <v>0</v>
      </c>
      <c r="AC138" s="131">
        <f t="shared" si="14"/>
        <v>0</v>
      </c>
      <c r="AD138" s="132">
        <f t="shared" si="15"/>
        <v>0</v>
      </c>
      <c r="AE138" s="135"/>
      <c r="AF138" s="135"/>
      <c r="AG138" s="135"/>
      <c r="AH138" s="131">
        <f t="shared" si="16"/>
        <v>0</v>
      </c>
      <c r="AI138" s="131">
        <f t="shared" si="17"/>
        <v>0</v>
      </c>
      <c r="AJ138" s="95"/>
      <c r="AK138" s="136">
        <f t="shared" si="18"/>
        <v>0</v>
      </c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</row>
    <row r="139" ht="15.75" customHeight="1">
      <c r="A139" s="156" t="s">
        <v>717</v>
      </c>
      <c r="B139" s="138" t="s">
        <v>695</v>
      </c>
      <c r="C139" s="119" t="s">
        <v>431</v>
      </c>
      <c r="D139" s="146"/>
      <c r="E139" s="146"/>
      <c r="F139" s="146"/>
      <c r="G139" s="81" t="s">
        <v>718</v>
      </c>
      <c r="H139" s="164">
        <v>91.0</v>
      </c>
      <c r="I139" s="124" t="s">
        <v>716</v>
      </c>
      <c r="J139" s="81" t="s">
        <v>717</v>
      </c>
      <c r="K139" s="102" t="s">
        <v>45</v>
      </c>
      <c r="L139" s="102" t="s">
        <v>34</v>
      </c>
      <c r="M139" s="172" t="s">
        <v>415</v>
      </c>
      <c r="N139" s="130">
        <v>199.20897315000002</v>
      </c>
      <c r="O139" s="169">
        <f t="shared" si="1"/>
        <v>199.2101115</v>
      </c>
      <c r="P139" s="131">
        <f t="shared" si="2"/>
        <v>31.94573847</v>
      </c>
      <c r="Q139" s="131">
        <f t="shared" si="3"/>
        <v>231.15585</v>
      </c>
      <c r="R139" s="131">
        <f t="shared" si="4"/>
        <v>7.14915</v>
      </c>
      <c r="S139" s="132">
        <f t="shared" si="5"/>
        <v>238.305</v>
      </c>
      <c r="T139" s="131">
        <f t="shared" si="6"/>
        <v>79.435</v>
      </c>
      <c r="U139" s="127">
        <v>317.74</v>
      </c>
      <c r="V139" s="127">
        <f t="shared" si="7"/>
        <v>127.096</v>
      </c>
      <c r="W139" s="133">
        <f t="shared" si="8"/>
        <v>17.3231848</v>
      </c>
      <c r="X139" s="134">
        <f t="shared" si="9"/>
        <v>335.0631848</v>
      </c>
      <c r="Y139" s="93">
        <f t="shared" si="10"/>
        <v>-0.00113838</v>
      </c>
      <c r="Z139" s="131">
        <f t="shared" si="11"/>
        <v>0</v>
      </c>
      <c r="AA139" s="131">
        <f t="shared" si="12"/>
        <v>0</v>
      </c>
      <c r="AB139" s="131">
        <f t="shared" si="13"/>
        <v>0</v>
      </c>
      <c r="AC139" s="131">
        <f t="shared" si="14"/>
        <v>0</v>
      </c>
      <c r="AD139" s="132">
        <f t="shared" si="15"/>
        <v>0</v>
      </c>
      <c r="AE139" s="135"/>
      <c r="AF139" s="135"/>
      <c r="AG139" s="135"/>
      <c r="AH139" s="131">
        <f t="shared" si="16"/>
        <v>0</v>
      </c>
      <c r="AI139" s="131">
        <f t="shared" si="17"/>
        <v>0</v>
      </c>
      <c r="AJ139" s="95"/>
      <c r="AK139" s="136">
        <f t="shared" si="18"/>
        <v>0</v>
      </c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</row>
    <row r="140" ht="15.75" customHeight="1">
      <c r="A140" s="156" t="s">
        <v>270</v>
      </c>
      <c r="B140" s="138" t="s">
        <v>695</v>
      </c>
      <c r="C140" s="119" t="s">
        <v>431</v>
      </c>
      <c r="D140" s="146"/>
      <c r="E140" s="146"/>
      <c r="F140" s="146"/>
      <c r="G140" s="102" t="s">
        <v>719</v>
      </c>
      <c r="H140" s="164">
        <v>93.0</v>
      </c>
      <c r="I140" s="102" t="s">
        <v>271</v>
      </c>
      <c r="J140" s="81" t="s">
        <v>270</v>
      </c>
      <c r="K140" s="102" t="s">
        <v>269</v>
      </c>
      <c r="L140" s="102" t="s">
        <v>692</v>
      </c>
      <c r="M140" s="172" t="s">
        <v>415</v>
      </c>
      <c r="N140" s="130">
        <v>157.245</v>
      </c>
      <c r="O140" s="169">
        <f t="shared" si="1"/>
        <v>157.2414426</v>
      </c>
      <c r="P140" s="131">
        <f t="shared" si="2"/>
        <v>25.2155574</v>
      </c>
      <c r="Q140" s="131">
        <f t="shared" si="3"/>
        <v>182.457</v>
      </c>
      <c r="R140" s="131">
        <f t="shared" si="4"/>
        <v>5.643</v>
      </c>
      <c r="S140" s="132">
        <f t="shared" si="5"/>
        <v>188.1</v>
      </c>
      <c r="T140" s="131">
        <f t="shared" si="6"/>
        <v>62.7</v>
      </c>
      <c r="U140" s="127">
        <v>250.8</v>
      </c>
      <c r="V140" s="127">
        <f t="shared" si="7"/>
        <v>100.32</v>
      </c>
      <c r="W140" s="133">
        <f t="shared" si="8"/>
        <v>13.673616</v>
      </c>
      <c r="X140" s="134">
        <f t="shared" si="9"/>
        <v>264.473616</v>
      </c>
      <c r="Y140" s="93">
        <f t="shared" si="10"/>
        <v>0.0035574</v>
      </c>
      <c r="Z140" s="131">
        <f t="shared" si="11"/>
        <v>0</v>
      </c>
      <c r="AA140" s="131">
        <f t="shared" si="12"/>
        <v>0</v>
      </c>
      <c r="AB140" s="131">
        <f t="shared" si="13"/>
        <v>0</v>
      </c>
      <c r="AC140" s="131">
        <f t="shared" si="14"/>
        <v>0</v>
      </c>
      <c r="AD140" s="132">
        <f t="shared" si="15"/>
        <v>0</v>
      </c>
      <c r="AE140" s="135"/>
      <c r="AF140" s="135"/>
      <c r="AG140" s="135"/>
      <c r="AH140" s="131">
        <f t="shared" si="16"/>
        <v>0</v>
      </c>
      <c r="AI140" s="131">
        <f t="shared" si="17"/>
        <v>0</v>
      </c>
      <c r="AJ140" s="95"/>
      <c r="AK140" s="136">
        <f t="shared" si="18"/>
        <v>0</v>
      </c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</row>
    <row r="141" ht="15.75" customHeight="1">
      <c r="A141" s="156" t="s">
        <v>720</v>
      </c>
      <c r="B141" s="147" t="s">
        <v>695</v>
      </c>
      <c r="C141" s="119" t="s">
        <v>431</v>
      </c>
      <c r="D141" s="146"/>
      <c r="E141" s="170"/>
      <c r="F141" s="170"/>
      <c r="G141" s="81" t="s">
        <v>721</v>
      </c>
      <c r="H141" s="164">
        <v>139.0</v>
      </c>
      <c r="I141" s="117" t="s">
        <v>415</v>
      </c>
      <c r="J141" s="161" t="s">
        <v>722</v>
      </c>
      <c r="K141" s="117" t="s">
        <v>415</v>
      </c>
      <c r="L141" s="117" t="s">
        <v>415</v>
      </c>
      <c r="M141" s="172" t="s">
        <v>415</v>
      </c>
      <c r="N141" s="130">
        <v>0.0</v>
      </c>
      <c r="O141" s="131">
        <f t="shared" si="1"/>
        <v>0</v>
      </c>
      <c r="P141" s="131">
        <f t="shared" si="2"/>
        <v>0</v>
      </c>
      <c r="Q141" s="131">
        <f t="shared" si="3"/>
        <v>0</v>
      </c>
      <c r="R141" s="131">
        <f t="shared" si="4"/>
        <v>0</v>
      </c>
      <c r="S141" s="132">
        <f t="shared" si="5"/>
        <v>0</v>
      </c>
      <c r="T141" s="131">
        <f t="shared" si="6"/>
        <v>0</v>
      </c>
      <c r="U141" s="127">
        <v>0.0</v>
      </c>
      <c r="V141" s="127">
        <f t="shared" si="7"/>
        <v>0</v>
      </c>
      <c r="W141" s="133">
        <f t="shared" si="8"/>
        <v>0</v>
      </c>
      <c r="X141" s="134">
        <f t="shared" si="9"/>
        <v>0</v>
      </c>
      <c r="Y141" s="93">
        <f t="shared" si="10"/>
        <v>0</v>
      </c>
      <c r="Z141" s="131">
        <f t="shared" si="11"/>
        <v>0</v>
      </c>
      <c r="AA141" s="131">
        <f t="shared" si="12"/>
        <v>0</v>
      </c>
      <c r="AB141" s="131">
        <f t="shared" si="13"/>
        <v>0</v>
      </c>
      <c r="AC141" s="131">
        <f t="shared" si="14"/>
        <v>0</v>
      </c>
      <c r="AD141" s="132">
        <f t="shared" si="15"/>
        <v>0</v>
      </c>
      <c r="AE141" s="135"/>
      <c r="AF141" s="135"/>
      <c r="AG141" s="135"/>
      <c r="AH141" s="131">
        <f t="shared" si="16"/>
        <v>0</v>
      </c>
      <c r="AI141" s="131">
        <f t="shared" si="17"/>
        <v>0</v>
      </c>
      <c r="AJ141" s="95"/>
      <c r="AK141" s="136">
        <f t="shared" si="18"/>
        <v>0</v>
      </c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</row>
    <row r="142" ht="15.75" customHeight="1">
      <c r="A142" s="156" t="s">
        <v>275</v>
      </c>
      <c r="B142" s="138" t="s">
        <v>695</v>
      </c>
      <c r="C142" s="173" t="s">
        <v>431</v>
      </c>
      <c r="D142" s="141"/>
      <c r="E142" s="141"/>
      <c r="F142" s="142"/>
      <c r="G142" s="98" t="s">
        <v>723</v>
      </c>
      <c r="H142" s="143">
        <v>92.0</v>
      </c>
      <c r="I142" s="144" t="s">
        <v>276</v>
      </c>
      <c r="J142" s="98" t="s">
        <v>275</v>
      </c>
      <c r="K142" s="98" t="s">
        <v>164</v>
      </c>
      <c r="L142" s="98" t="s">
        <v>34</v>
      </c>
      <c r="M142" s="174" t="s">
        <v>415</v>
      </c>
      <c r="N142" s="130">
        <v>164.635515</v>
      </c>
      <c r="O142" s="131">
        <f t="shared" si="1"/>
        <v>164.6286999</v>
      </c>
      <c r="P142" s="131">
        <f t="shared" si="2"/>
        <v>26.40019301</v>
      </c>
      <c r="Q142" s="131">
        <f t="shared" si="3"/>
        <v>191.028893</v>
      </c>
      <c r="R142" s="131">
        <f t="shared" si="4"/>
        <v>5.908110091</v>
      </c>
      <c r="S142" s="132">
        <f t="shared" si="5"/>
        <v>196.937003</v>
      </c>
      <c r="T142" s="131">
        <f t="shared" si="6"/>
        <v>65.64566768</v>
      </c>
      <c r="U142" s="127">
        <v>262.582670724</v>
      </c>
      <c r="V142" s="127">
        <f t="shared" si="7"/>
        <v>105.0330683</v>
      </c>
      <c r="W142" s="133">
        <f t="shared" si="8"/>
        <v>14.31600721</v>
      </c>
      <c r="X142" s="134">
        <f t="shared" si="9"/>
        <v>276.8986779</v>
      </c>
      <c r="Y142" s="93">
        <f t="shared" si="10"/>
        <v>0.006815054216</v>
      </c>
      <c r="Z142" s="131">
        <f t="shared" si="11"/>
        <v>0</v>
      </c>
      <c r="AA142" s="131">
        <f t="shared" si="12"/>
        <v>0</v>
      </c>
      <c r="AB142" s="131">
        <f t="shared" si="13"/>
        <v>0</v>
      </c>
      <c r="AC142" s="131">
        <f t="shared" si="14"/>
        <v>0</v>
      </c>
      <c r="AD142" s="132">
        <f t="shared" si="15"/>
        <v>0</v>
      </c>
      <c r="AE142" s="135"/>
      <c r="AF142" s="135"/>
      <c r="AG142" s="135"/>
      <c r="AH142" s="131">
        <f t="shared" si="16"/>
        <v>0</v>
      </c>
      <c r="AI142" s="131">
        <f t="shared" si="17"/>
        <v>0</v>
      </c>
      <c r="AJ142" s="95"/>
      <c r="AK142" s="136">
        <f t="shared" si="18"/>
        <v>0</v>
      </c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</row>
    <row r="143" ht="15.75" customHeight="1">
      <c r="A143" s="156" t="s">
        <v>321</v>
      </c>
      <c r="B143" s="138" t="s">
        <v>695</v>
      </c>
      <c r="C143" s="173" t="s">
        <v>431</v>
      </c>
      <c r="D143" s="141"/>
      <c r="E143" s="175"/>
      <c r="F143" s="175"/>
      <c r="G143" s="98" t="s">
        <v>535</v>
      </c>
      <c r="H143" s="143">
        <v>127.0</v>
      </c>
      <c r="I143" s="174" t="s">
        <v>724</v>
      </c>
      <c r="J143" s="98" t="s">
        <v>321</v>
      </c>
      <c r="K143" s="174" t="s">
        <v>307</v>
      </c>
      <c r="L143" s="174" t="s">
        <v>415</v>
      </c>
      <c r="M143" s="174" t="s">
        <v>415</v>
      </c>
      <c r="N143" s="130">
        <v>65.854206</v>
      </c>
      <c r="O143" s="131">
        <f t="shared" si="1"/>
        <v>65.84735119</v>
      </c>
      <c r="P143" s="131">
        <f t="shared" si="2"/>
        <v>10.5594151</v>
      </c>
      <c r="Q143" s="131">
        <f t="shared" si="3"/>
        <v>76.40676629</v>
      </c>
      <c r="R143" s="131">
        <f t="shared" si="4"/>
        <v>2.363095865</v>
      </c>
      <c r="S143" s="132">
        <f t="shared" si="5"/>
        <v>78.76986215</v>
      </c>
      <c r="T143" s="131">
        <f t="shared" si="6"/>
        <v>26.25662072</v>
      </c>
      <c r="U143" s="127">
        <v>105.02648286899999</v>
      </c>
      <c r="V143" s="127">
        <f t="shared" si="7"/>
        <v>42.01059315</v>
      </c>
      <c r="W143" s="133">
        <f t="shared" si="8"/>
        <v>5.726043846</v>
      </c>
      <c r="X143" s="134">
        <f t="shared" si="9"/>
        <v>110.7525267</v>
      </c>
      <c r="Y143" s="93">
        <f t="shared" si="10"/>
        <v>0.006854813693</v>
      </c>
      <c r="Z143" s="131">
        <f t="shared" si="11"/>
        <v>0</v>
      </c>
      <c r="AA143" s="131">
        <f t="shared" si="12"/>
        <v>0</v>
      </c>
      <c r="AB143" s="131">
        <f t="shared" si="13"/>
        <v>0</v>
      </c>
      <c r="AC143" s="131">
        <f t="shared" si="14"/>
        <v>0</v>
      </c>
      <c r="AD143" s="132">
        <f t="shared" si="15"/>
        <v>0</v>
      </c>
      <c r="AE143" s="135"/>
      <c r="AF143" s="135"/>
      <c r="AG143" s="135"/>
      <c r="AH143" s="131">
        <f t="shared" si="16"/>
        <v>0</v>
      </c>
      <c r="AI143" s="131">
        <f t="shared" si="17"/>
        <v>0</v>
      </c>
      <c r="AJ143" s="95"/>
      <c r="AK143" s="136">
        <f t="shared" si="18"/>
        <v>0</v>
      </c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</row>
    <row r="144" ht="15.75" customHeight="1">
      <c r="A144" s="156" t="s">
        <v>308</v>
      </c>
      <c r="B144" s="138" t="s">
        <v>695</v>
      </c>
      <c r="C144" s="119" t="s">
        <v>431</v>
      </c>
      <c r="D144" s="100"/>
      <c r="E144" s="100"/>
      <c r="F144" s="114"/>
      <c r="G144" s="102" t="s">
        <v>688</v>
      </c>
      <c r="H144" s="103">
        <v>113.0</v>
      </c>
      <c r="I144" s="124" t="s">
        <v>725</v>
      </c>
      <c r="J144" s="102" t="s">
        <v>308</v>
      </c>
      <c r="K144" s="102" t="s">
        <v>307</v>
      </c>
      <c r="L144" s="102" t="s">
        <v>66</v>
      </c>
      <c r="M144" s="124" t="s">
        <v>415</v>
      </c>
      <c r="N144" s="87">
        <v>132.80598210000002</v>
      </c>
      <c r="O144" s="131">
        <f t="shared" si="1"/>
        <v>132.8060356</v>
      </c>
      <c r="P144" s="131">
        <f t="shared" si="2"/>
        <v>21.29704585</v>
      </c>
      <c r="Q144" s="131">
        <f t="shared" si="3"/>
        <v>154.1030814</v>
      </c>
      <c r="R144" s="131">
        <f t="shared" si="4"/>
        <v>4.766074683</v>
      </c>
      <c r="S144" s="132">
        <f t="shared" si="5"/>
        <v>158.8691561</v>
      </c>
      <c r="T144" s="131">
        <f t="shared" si="6"/>
        <v>52.95638536</v>
      </c>
      <c r="U144" s="127">
        <v>211.82554144950004</v>
      </c>
      <c r="V144" s="127">
        <f t="shared" si="7"/>
        <v>84.73021658</v>
      </c>
      <c r="W144" s="133">
        <f t="shared" si="8"/>
        <v>11.54872852</v>
      </c>
      <c r="X144" s="134">
        <f t="shared" si="9"/>
        <v>223.37427</v>
      </c>
      <c r="Y144" s="93">
        <f t="shared" si="10"/>
        <v>-0.00005345440781</v>
      </c>
      <c r="Z144" s="131">
        <f t="shared" si="11"/>
        <v>0</v>
      </c>
      <c r="AA144" s="131">
        <f t="shared" si="12"/>
        <v>0</v>
      </c>
      <c r="AB144" s="131">
        <f t="shared" si="13"/>
        <v>0</v>
      </c>
      <c r="AC144" s="131">
        <f t="shared" si="14"/>
        <v>0</v>
      </c>
      <c r="AD144" s="132">
        <f t="shared" si="15"/>
        <v>0</v>
      </c>
      <c r="AE144" s="135"/>
      <c r="AF144" s="135"/>
      <c r="AG144" s="135"/>
      <c r="AH144" s="131">
        <f t="shared" si="16"/>
        <v>0</v>
      </c>
      <c r="AI144" s="131">
        <f t="shared" si="17"/>
        <v>0</v>
      </c>
      <c r="AJ144" s="95"/>
      <c r="AK144" s="136">
        <f t="shared" si="18"/>
        <v>0</v>
      </c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</row>
    <row r="145" ht="15.75" customHeight="1">
      <c r="A145" s="156" t="s">
        <v>726</v>
      </c>
      <c r="B145" s="147" t="s">
        <v>695</v>
      </c>
      <c r="C145" s="173" t="s">
        <v>431</v>
      </c>
      <c r="D145" s="100"/>
      <c r="E145" s="114"/>
      <c r="F145" s="114"/>
      <c r="G145" s="102" t="s">
        <v>727</v>
      </c>
      <c r="H145" s="176">
        <v>103.0</v>
      </c>
      <c r="I145" s="144" t="s">
        <v>293</v>
      </c>
      <c r="J145" s="81" t="s">
        <v>726</v>
      </c>
      <c r="K145" s="98" t="s">
        <v>45</v>
      </c>
      <c r="L145" s="98" t="s">
        <v>34</v>
      </c>
      <c r="M145" s="174" t="s">
        <v>415</v>
      </c>
      <c r="N145" s="130">
        <v>164.635515</v>
      </c>
      <c r="O145" s="131">
        <f t="shared" si="1"/>
        <v>164.6286999</v>
      </c>
      <c r="P145" s="131">
        <f t="shared" si="2"/>
        <v>26.40019301</v>
      </c>
      <c r="Q145" s="131">
        <f t="shared" si="3"/>
        <v>191.028893</v>
      </c>
      <c r="R145" s="131">
        <f t="shared" si="4"/>
        <v>5.908110091</v>
      </c>
      <c r="S145" s="132">
        <f t="shared" si="5"/>
        <v>196.937003</v>
      </c>
      <c r="T145" s="131">
        <f t="shared" si="6"/>
        <v>65.64566768</v>
      </c>
      <c r="U145" s="127">
        <v>262.582670724</v>
      </c>
      <c r="V145" s="127">
        <f t="shared" si="7"/>
        <v>105.0330683</v>
      </c>
      <c r="W145" s="133">
        <f t="shared" si="8"/>
        <v>14.31600721</v>
      </c>
      <c r="X145" s="134">
        <f t="shared" si="9"/>
        <v>276.8986779</v>
      </c>
      <c r="Y145" s="93">
        <f t="shared" si="10"/>
        <v>0.006815054216</v>
      </c>
      <c r="Z145" s="131">
        <f t="shared" si="11"/>
        <v>0</v>
      </c>
      <c r="AA145" s="131">
        <f t="shared" si="12"/>
        <v>0</v>
      </c>
      <c r="AB145" s="131">
        <f t="shared" si="13"/>
        <v>0</v>
      </c>
      <c r="AC145" s="131">
        <f t="shared" si="14"/>
        <v>0</v>
      </c>
      <c r="AD145" s="132">
        <f t="shared" si="15"/>
        <v>0</v>
      </c>
      <c r="AE145" s="135"/>
      <c r="AF145" s="135"/>
      <c r="AG145" s="135"/>
      <c r="AH145" s="131">
        <f t="shared" si="16"/>
        <v>0</v>
      </c>
      <c r="AI145" s="131">
        <f t="shared" si="17"/>
        <v>0</v>
      </c>
      <c r="AJ145" s="95"/>
      <c r="AK145" s="136">
        <f t="shared" si="18"/>
        <v>0</v>
      </c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</row>
    <row r="146" ht="15.75" customHeight="1">
      <c r="A146" s="156" t="s">
        <v>312</v>
      </c>
      <c r="B146" s="147" t="s">
        <v>695</v>
      </c>
      <c r="C146" s="119" t="s">
        <v>431</v>
      </c>
      <c r="D146" s="100"/>
      <c r="E146" s="114"/>
      <c r="F146" s="114"/>
      <c r="G146" s="102" t="s">
        <v>728</v>
      </c>
      <c r="H146" s="176">
        <v>104.0</v>
      </c>
      <c r="I146" s="144" t="s">
        <v>313</v>
      </c>
      <c r="J146" s="81" t="s">
        <v>312</v>
      </c>
      <c r="K146" s="167" t="s">
        <v>415</v>
      </c>
      <c r="L146" s="177" t="s">
        <v>34</v>
      </c>
      <c r="M146" s="117" t="s">
        <v>415</v>
      </c>
      <c r="N146" s="130">
        <v>164.635515</v>
      </c>
      <c r="O146" s="131">
        <f t="shared" si="1"/>
        <v>164.6286999</v>
      </c>
      <c r="P146" s="131">
        <f t="shared" si="2"/>
        <v>26.40019301</v>
      </c>
      <c r="Q146" s="131">
        <f t="shared" si="3"/>
        <v>191.028893</v>
      </c>
      <c r="R146" s="131">
        <f t="shared" si="4"/>
        <v>5.908110091</v>
      </c>
      <c r="S146" s="132">
        <f t="shared" si="5"/>
        <v>196.937003</v>
      </c>
      <c r="T146" s="131">
        <f t="shared" si="6"/>
        <v>65.64566768</v>
      </c>
      <c r="U146" s="127">
        <v>262.582670724</v>
      </c>
      <c r="V146" s="127">
        <f t="shared" si="7"/>
        <v>105.0330683</v>
      </c>
      <c r="W146" s="133">
        <f t="shared" si="8"/>
        <v>14.31600721</v>
      </c>
      <c r="X146" s="134">
        <f t="shared" si="9"/>
        <v>276.8986779</v>
      </c>
      <c r="Y146" s="93">
        <f t="shared" si="10"/>
        <v>0.006815054216</v>
      </c>
      <c r="Z146" s="131">
        <f t="shared" si="11"/>
        <v>0</v>
      </c>
      <c r="AA146" s="131">
        <f t="shared" si="12"/>
        <v>0</v>
      </c>
      <c r="AB146" s="131">
        <f t="shared" si="13"/>
        <v>0</v>
      </c>
      <c r="AC146" s="131">
        <f t="shared" si="14"/>
        <v>0</v>
      </c>
      <c r="AD146" s="132">
        <f t="shared" si="15"/>
        <v>0</v>
      </c>
      <c r="AE146" s="135"/>
      <c r="AF146" s="135"/>
      <c r="AG146" s="135"/>
      <c r="AH146" s="131">
        <f t="shared" si="16"/>
        <v>0</v>
      </c>
      <c r="AI146" s="131">
        <f t="shared" si="17"/>
        <v>0</v>
      </c>
      <c r="AJ146" s="95"/>
      <c r="AK146" s="136">
        <f t="shared" si="18"/>
        <v>0</v>
      </c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</row>
    <row r="147" ht="15.75" customHeight="1">
      <c r="A147" s="178"/>
      <c r="B147" s="178"/>
      <c r="C147" s="178"/>
      <c r="D147" s="6"/>
      <c r="E147" s="179"/>
      <c r="F147" s="179"/>
      <c r="G147" s="179"/>
      <c r="H147" s="180"/>
      <c r="I147" s="179"/>
      <c r="J147" s="179"/>
      <c r="K147" s="179"/>
      <c r="L147" s="179"/>
      <c r="M147" s="179"/>
      <c r="N147" s="181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</row>
    <row r="148" ht="15.75" customHeight="1">
      <c r="A148" s="178"/>
      <c r="B148" s="178"/>
      <c r="C148" s="178"/>
      <c r="D148" s="6"/>
      <c r="E148" s="179"/>
      <c r="F148" s="179"/>
      <c r="G148" s="179"/>
      <c r="H148" s="180"/>
      <c r="I148" s="179"/>
      <c r="J148" s="179"/>
      <c r="K148" s="179"/>
      <c r="L148" s="179"/>
      <c r="M148" s="179"/>
      <c r="N148" s="181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</row>
    <row r="149" ht="15.75" customHeight="1">
      <c r="A149" s="178"/>
      <c r="B149" s="178"/>
      <c r="C149" s="178"/>
      <c r="D149" s="6"/>
      <c r="E149" s="179"/>
      <c r="F149" s="179"/>
      <c r="G149" s="179"/>
      <c r="H149" s="180"/>
      <c r="I149" s="179"/>
      <c r="J149" s="179"/>
      <c r="K149" s="179"/>
      <c r="L149" s="179"/>
      <c r="M149" s="179"/>
      <c r="N149" s="181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</row>
    <row r="150" ht="15.75" customHeight="1">
      <c r="A150" s="178"/>
      <c r="B150" s="178"/>
      <c r="C150" s="178"/>
      <c r="D150" s="6"/>
      <c r="E150" s="179"/>
      <c r="F150" s="179"/>
      <c r="G150" s="179"/>
      <c r="H150" s="180"/>
      <c r="I150" s="179"/>
      <c r="J150" s="179"/>
      <c r="K150" s="179"/>
      <c r="L150" s="179"/>
      <c r="M150" s="179"/>
      <c r="N150" s="181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</row>
    <row r="151" ht="15.75" customHeight="1">
      <c r="A151" s="178"/>
      <c r="B151" s="178"/>
      <c r="C151" s="178"/>
      <c r="D151" s="6"/>
      <c r="E151" s="179"/>
      <c r="F151" s="179"/>
      <c r="G151" s="179"/>
      <c r="H151" s="180"/>
      <c r="I151" s="179"/>
      <c r="J151" s="179"/>
      <c r="K151" s="179"/>
      <c r="L151" s="179"/>
      <c r="M151" s="179"/>
      <c r="N151" s="181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</row>
    <row r="152" ht="15.75" customHeight="1">
      <c r="A152" s="178"/>
      <c r="B152" s="178"/>
      <c r="C152" s="178"/>
      <c r="D152" s="6"/>
      <c r="E152" s="179"/>
      <c r="F152" s="179"/>
      <c r="G152" s="179"/>
      <c r="H152" s="180"/>
      <c r="I152" s="179"/>
      <c r="J152" s="179"/>
      <c r="K152" s="179"/>
      <c r="L152" s="179"/>
      <c r="M152" s="179"/>
      <c r="N152" s="181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ht="15.75" customHeight="1">
      <c r="A153" s="178"/>
      <c r="B153" s="178"/>
      <c r="C153" s="178"/>
      <c r="D153" s="6"/>
      <c r="E153" s="179"/>
      <c r="F153" s="179"/>
      <c r="G153" s="179"/>
      <c r="H153" s="180"/>
      <c r="I153" s="179"/>
      <c r="J153" s="179"/>
      <c r="K153" s="179"/>
      <c r="L153" s="179"/>
      <c r="M153" s="179"/>
      <c r="N153" s="181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ht="15.75" customHeight="1">
      <c r="A154" s="178"/>
      <c r="B154" s="178"/>
      <c r="C154" s="178"/>
      <c r="D154" s="6"/>
      <c r="E154" s="179"/>
      <c r="F154" s="179"/>
      <c r="G154" s="179"/>
      <c r="H154" s="180"/>
      <c r="I154" s="179"/>
      <c r="J154" s="179"/>
      <c r="K154" s="179"/>
      <c r="L154" s="179"/>
      <c r="M154" s="179"/>
      <c r="N154" s="181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</row>
    <row r="155" ht="15.75" customHeight="1">
      <c r="A155" s="178"/>
      <c r="B155" s="178"/>
      <c r="C155" s="178"/>
      <c r="D155" s="6"/>
      <c r="E155" s="179"/>
      <c r="F155" s="179"/>
      <c r="G155" s="179"/>
      <c r="H155" s="180"/>
      <c r="I155" s="179"/>
      <c r="J155" s="179"/>
      <c r="K155" s="179"/>
      <c r="L155" s="179"/>
      <c r="M155" s="179"/>
      <c r="N155" s="181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</row>
    <row r="156" ht="15.75" customHeight="1">
      <c r="A156" s="178"/>
      <c r="B156" s="178"/>
      <c r="C156" s="178"/>
      <c r="D156" s="6"/>
      <c r="E156" s="179"/>
      <c r="F156" s="179"/>
      <c r="G156" s="179"/>
      <c r="H156" s="180"/>
      <c r="I156" s="179"/>
      <c r="J156" s="179"/>
      <c r="K156" s="179"/>
      <c r="L156" s="179"/>
      <c r="M156" s="179"/>
      <c r="N156" s="181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</row>
    <row r="157" ht="15.75" customHeight="1">
      <c r="A157" s="178"/>
      <c r="B157" s="178"/>
      <c r="C157" s="178"/>
      <c r="D157" s="6"/>
      <c r="E157" s="179"/>
      <c r="F157" s="179"/>
      <c r="G157" s="179"/>
      <c r="H157" s="180"/>
      <c r="I157" s="179"/>
      <c r="J157" s="179"/>
      <c r="K157" s="179"/>
      <c r="L157" s="179"/>
      <c r="M157" s="179"/>
      <c r="N157" s="181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</row>
    <row r="158" ht="15.75" customHeight="1">
      <c r="A158" s="178"/>
      <c r="B158" s="178"/>
      <c r="C158" s="178"/>
      <c r="D158" s="6"/>
      <c r="E158" s="179"/>
      <c r="F158" s="179"/>
      <c r="G158" s="179"/>
      <c r="H158" s="180"/>
      <c r="I158" s="179"/>
      <c r="J158" s="179"/>
      <c r="K158" s="179"/>
      <c r="L158" s="179"/>
      <c r="M158" s="179"/>
      <c r="N158" s="181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</row>
    <row r="159" ht="15.75" customHeight="1">
      <c r="A159" s="178"/>
      <c r="B159" s="178"/>
      <c r="C159" s="178"/>
      <c r="D159" s="6"/>
      <c r="E159" s="179"/>
      <c r="F159" s="179"/>
      <c r="G159" s="179"/>
      <c r="H159" s="180"/>
      <c r="I159" s="179"/>
      <c r="J159" s="179"/>
      <c r="K159" s="179"/>
      <c r="L159" s="179"/>
      <c r="M159" s="179"/>
      <c r="N159" s="181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</row>
    <row r="160" ht="15.75" customHeight="1">
      <c r="A160" s="178"/>
      <c r="B160" s="178"/>
      <c r="C160" s="178"/>
      <c r="D160" s="6"/>
      <c r="E160" s="179"/>
      <c r="F160" s="179"/>
      <c r="G160" s="179"/>
      <c r="H160" s="180"/>
      <c r="I160" s="179"/>
      <c r="J160" s="179"/>
      <c r="K160" s="179"/>
      <c r="L160" s="179"/>
      <c r="M160" s="179"/>
      <c r="N160" s="181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</row>
    <row r="161" ht="15.75" customHeight="1">
      <c r="A161" s="178"/>
      <c r="B161" s="178"/>
      <c r="C161" s="178"/>
      <c r="D161" s="6"/>
      <c r="E161" s="179"/>
      <c r="F161" s="179"/>
      <c r="G161" s="179"/>
      <c r="H161" s="180"/>
      <c r="I161" s="179"/>
      <c r="J161" s="179"/>
      <c r="K161" s="179"/>
      <c r="L161" s="179"/>
      <c r="M161" s="179"/>
      <c r="N161" s="181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</row>
    <row r="162" ht="15.75" customHeight="1">
      <c r="A162" s="178"/>
      <c r="B162" s="178"/>
      <c r="C162" s="178"/>
      <c r="D162" s="6"/>
      <c r="E162" s="179"/>
      <c r="F162" s="179"/>
      <c r="G162" s="179"/>
      <c r="H162" s="180"/>
      <c r="I162" s="179"/>
      <c r="J162" s="179"/>
      <c r="K162" s="179"/>
      <c r="L162" s="179"/>
      <c r="M162" s="179"/>
      <c r="N162" s="181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</row>
    <row r="163" ht="15.75" customHeight="1">
      <c r="A163" s="178"/>
      <c r="B163" s="178"/>
      <c r="C163" s="178"/>
      <c r="D163" s="6"/>
      <c r="E163" s="179"/>
      <c r="F163" s="179"/>
      <c r="G163" s="179"/>
      <c r="H163" s="180"/>
      <c r="I163" s="179"/>
      <c r="J163" s="179"/>
      <c r="K163" s="179"/>
      <c r="L163" s="179"/>
      <c r="M163" s="179"/>
      <c r="N163" s="181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</row>
    <row r="164" ht="15.75" customHeight="1">
      <c r="A164" s="178"/>
      <c r="B164" s="178"/>
      <c r="C164" s="178"/>
      <c r="D164" s="6"/>
      <c r="E164" s="179"/>
      <c r="F164" s="179"/>
      <c r="G164" s="179"/>
      <c r="H164" s="180"/>
      <c r="I164" s="179"/>
      <c r="J164" s="179"/>
      <c r="K164" s="179"/>
      <c r="L164" s="179"/>
      <c r="M164" s="179"/>
      <c r="N164" s="181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</row>
    <row r="165" ht="15.75" customHeight="1">
      <c r="A165" s="178"/>
      <c r="B165" s="178"/>
      <c r="C165" s="178"/>
      <c r="D165" s="6"/>
      <c r="E165" s="179"/>
      <c r="F165" s="179"/>
      <c r="G165" s="179"/>
      <c r="H165" s="180"/>
      <c r="I165" s="179"/>
      <c r="J165" s="179"/>
      <c r="K165" s="179"/>
      <c r="L165" s="179"/>
      <c r="M165" s="179"/>
      <c r="N165" s="181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</row>
    <row r="166" ht="15.75" customHeight="1">
      <c r="A166" s="178"/>
      <c r="B166" s="178"/>
      <c r="C166" s="178"/>
      <c r="D166" s="6"/>
      <c r="E166" s="179"/>
      <c r="F166" s="179"/>
      <c r="G166" s="179"/>
      <c r="H166" s="180"/>
      <c r="I166" s="179"/>
      <c r="J166" s="179"/>
      <c r="K166" s="179"/>
      <c r="L166" s="179"/>
      <c r="M166" s="179"/>
      <c r="N166" s="181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</row>
    <row r="167" ht="15.75" customHeight="1">
      <c r="A167" s="178"/>
      <c r="B167" s="178"/>
      <c r="C167" s="178"/>
      <c r="D167" s="6"/>
      <c r="E167" s="179"/>
      <c r="F167" s="179"/>
      <c r="G167" s="179"/>
      <c r="H167" s="180"/>
      <c r="I167" s="179"/>
      <c r="J167" s="179"/>
      <c r="K167" s="179"/>
      <c r="L167" s="179"/>
      <c r="M167" s="179"/>
      <c r="N167" s="181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ht="15.75" customHeight="1">
      <c r="A168" s="178"/>
      <c r="B168" s="178"/>
      <c r="C168" s="178"/>
      <c r="D168" s="6"/>
      <c r="E168" s="179"/>
      <c r="F168" s="179"/>
      <c r="G168" s="179"/>
      <c r="H168" s="180"/>
      <c r="I168" s="179"/>
      <c r="J168" s="179"/>
      <c r="K168" s="179"/>
      <c r="L168" s="179"/>
      <c r="M168" s="179"/>
      <c r="N168" s="181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</row>
    <row r="169" ht="15.75" customHeight="1">
      <c r="A169" s="178"/>
      <c r="B169" s="178"/>
      <c r="C169" s="178"/>
      <c r="D169" s="6"/>
      <c r="E169" s="179"/>
      <c r="F169" s="179"/>
      <c r="G169" s="179"/>
      <c r="H169" s="180"/>
      <c r="I169" s="179"/>
      <c r="J169" s="179"/>
      <c r="K169" s="179"/>
      <c r="L169" s="179"/>
      <c r="M169" s="179"/>
      <c r="N169" s="181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</row>
    <row r="170" ht="15.75" customHeight="1">
      <c r="A170" s="178"/>
      <c r="B170" s="178"/>
      <c r="C170" s="178"/>
      <c r="D170" s="6"/>
      <c r="E170" s="179"/>
      <c r="F170" s="179"/>
      <c r="G170" s="179"/>
      <c r="H170" s="180"/>
      <c r="I170" s="179"/>
      <c r="J170" s="179"/>
      <c r="K170" s="179"/>
      <c r="L170" s="179"/>
      <c r="M170" s="179"/>
      <c r="N170" s="181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</row>
    <row r="171" ht="15.75" customHeight="1">
      <c r="A171" s="178"/>
      <c r="B171" s="178"/>
      <c r="C171" s="178"/>
      <c r="D171" s="6"/>
      <c r="E171" s="179"/>
      <c r="F171" s="179"/>
      <c r="G171" s="179"/>
      <c r="H171" s="180"/>
      <c r="I171" s="179"/>
      <c r="J171" s="179"/>
      <c r="K171" s="179"/>
      <c r="L171" s="179"/>
      <c r="M171" s="179"/>
      <c r="N171" s="181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</row>
    <row r="172" ht="15.75" customHeight="1">
      <c r="A172" s="178"/>
      <c r="B172" s="178"/>
      <c r="C172" s="178"/>
      <c r="D172" s="6"/>
      <c r="E172" s="179"/>
      <c r="F172" s="179"/>
      <c r="G172" s="179"/>
      <c r="H172" s="180"/>
      <c r="I172" s="179"/>
      <c r="J172" s="179"/>
      <c r="K172" s="179"/>
      <c r="L172" s="179"/>
      <c r="M172" s="179"/>
      <c r="N172" s="181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</row>
    <row r="173" ht="15.75" customHeight="1">
      <c r="A173" s="178"/>
      <c r="B173" s="178"/>
      <c r="C173" s="178"/>
      <c r="D173" s="6"/>
      <c r="E173" s="179"/>
      <c r="F173" s="179"/>
      <c r="G173" s="179"/>
      <c r="H173" s="180"/>
      <c r="I173" s="179"/>
      <c r="J173" s="179"/>
      <c r="K173" s="179"/>
      <c r="L173" s="179"/>
      <c r="M173" s="179"/>
      <c r="N173" s="181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</row>
    <row r="174" ht="15.75" customHeight="1">
      <c r="A174" s="178"/>
      <c r="B174" s="178"/>
      <c r="C174" s="178"/>
      <c r="D174" s="6"/>
      <c r="E174" s="179"/>
      <c r="F174" s="179"/>
      <c r="G174" s="179"/>
      <c r="H174" s="180"/>
      <c r="I174" s="179"/>
      <c r="J174" s="179"/>
      <c r="K174" s="179"/>
      <c r="L174" s="179"/>
      <c r="M174" s="179"/>
      <c r="N174" s="181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</row>
    <row r="175" ht="15.75" customHeight="1">
      <c r="A175" s="178"/>
      <c r="B175" s="178"/>
      <c r="C175" s="178"/>
      <c r="D175" s="6"/>
      <c r="E175" s="179"/>
      <c r="F175" s="179"/>
      <c r="G175" s="179"/>
      <c r="H175" s="180"/>
      <c r="I175" s="179"/>
      <c r="J175" s="179"/>
      <c r="K175" s="179"/>
      <c r="L175" s="179"/>
      <c r="M175" s="179"/>
      <c r="N175" s="181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</row>
    <row r="176" ht="15.75" customHeight="1">
      <c r="A176" s="178"/>
      <c r="B176" s="178"/>
      <c r="C176" s="178"/>
      <c r="D176" s="6"/>
      <c r="E176" s="179"/>
      <c r="F176" s="179"/>
      <c r="G176" s="179"/>
      <c r="H176" s="180"/>
      <c r="I176" s="179"/>
      <c r="J176" s="179"/>
      <c r="K176" s="179"/>
      <c r="L176" s="179"/>
      <c r="M176" s="179"/>
      <c r="N176" s="181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</row>
    <row r="177" ht="15.75" customHeight="1">
      <c r="A177" s="178"/>
      <c r="B177" s="178"/>
      <c r="C177" s="178"/>
      <c r="D177" s="6"/>
      <c r="E177" s="179"/>
      <c r="F177" s="179"/>
      <c r="G177" s="179"/>
      <c r="H177" s="180"/>
      <c r="I177" s="179"/>
      <c r="J177" s="179"/>
      <c r="K177" s="179"/>
      <c r="L177" s="179"/>
      <c r="M177" s="179"/>
      <c r="N177" s="181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</row>
    <row r="178" ht="15.75" customHeight="1">
      <c r="A178" s="178"/>
      <c r="B178" s="178"/>
      <c r="C178" s="178"/>
      <c r="D178" s="6"/>
      <c r="E178" s="179"/>
      <c r="F178" s="179"/>
      <c r="G178" s="179"/>
      <c r="H178" s="180"/>
      <c r="I178" s="179"/>
      <c r="J178" s="179"/>
      <c r="K178" s="179"/>
      <c r="L178" s="179"/>
      <c r="M178" s="179"/>
      <c r="N178" s="181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</row>
    <row r="179" ht="15.75" customHeight="1">
      <c r="A179" s="178"/>
      <c r="B179" s="178"/>
      <c r="C179" s="178"/>
      <c r="D179" s="6"/>
      <c r="E179" s="179"/>
      <c r="F179" s="179"/>
      <c r="G179" s="179"/>
      <c r="H179" s="180"/>
      <c r="I179" s="179"/>
      <c r="J179" s="179"/>
      <c r="K179" s="179"/>
      <c r="L179" s="179"/>
      <c r="M179" s="179"/>
      <c r="N179" s="181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</row>
    <row r="180" ht="15.75" customHeight="1">
      <c r="A180" s="178"/>
      <c r="B180" s="178"/>
      <c r="C180" s="178"/>
      <c r="D180" s="6"/>
      <c r="E180" s="179"/>
      <c r="F180" s="179"/>
      <c r="G180" s="179"/>
      <c r="H180" s="180"/>
      <c r="I180" s="179"/>
      <c r="J180" s="179"/>
      <c r="K180" s="179"/>
      <c r="L180" s="179"/>
      <c r="M180" s="179"/>
      <c r="N180" s="181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</row>
    <row r="181" ht="15.75" customHeight="1">
      <c r="A181" s="178"/>
      <c r="B181" s="178"/>
      <c r="C181" s="178"/>
      <c r="D181" s="6"/>
      <c r="E181" s="179"/>
      <c r="F181" s="179"/>
      <c r="G181" s="179"/>
      <c r="H181" s="180"/>
      <c r="I181" s="179"/>
      <c r="J181" s="179"/>
      <c r="K181" s="179"/>
      <c r="L181" s="179"/>
      <c r="M181" s="179"/>
      <c r="N181" s="181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</row>
    <row r="182" ht="15.75" customHeight="1">
      <c r="A182" s="178"/>
      <c r="B182" s="178"/>
      <c r="C182" s="178"/>
      <c r="D182" s="6"/>
      <c r="E182" s="179"/>
      <c r="F182" s="179"/>
      <c r="G182" s="179"/>
      <c r="H182" s="180"/>
      <c r="I182" s="179"/>
      <c r="J182" s="179"/>
      <c r="K182" s="179"/>
      <c r="L182" s="179"/>
      <c r="M182" s="179"/>
      <c r="N182" s="181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</row>
    <row r="183" ht="15.75" customHeight="1">
      <c r="A183" s="178"/>
      <c r="B183" s="178"/>
      <c r="C183" s="178"/>
      <c r="D183" s="6"/>
      <c r="E183" s="179"/>
      <c r="F183" s="179"/>
      <c r="G183" s="179"/>
      <c r="H183" s="180"/>
      <c r="I183" s="179"/>
      <c r="J183" s="179"/>
      <c r="K183" s="179"/>
      <c r="L183" s="179"/>
      <c r="M183" s="179"/>
      <c r="N183" s="181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</row>
    <row r="184" ht="15.75" customHeight="1">
      <c r="A184" s="178"/>
      <c r="B184" s="178"/>
      <c r="C184" s="178"/>
      <c r="D184" s="6"/>
      <c r="E184" s="179"/>
      <c r="F184" s="179"/>
      <c r="G184" s="179"/>
      <c r="H184" s="180"/>
      <c r="I184" s="179"/>
      <c r="J184" s="179"/>
      <c r="K184" s="179"/>
      <c r="L184" s="179"/>
      <c r="M184" s="179"/>
      <c r="N184" s="181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</row>
    <row r="185" ht="15.75" customHeight="1">
      <c r="A185" s="178"/>
      <c r="B185" s="178"/>
      <c r="C185" s="178"/>
      <c r="D185" s="6"/>
      <c r="E185" s="179"/>
      <c r="F185" s="179"/>
      <c r="G185" s="179"/>
      <c r="H185" s="180"/>
      <c r="I185" s="179"/>
      <c r="J185" s="179"/>
      <c r="K185" s="179"/>
      <c r="L185" s="179"/>
      <c r="M185" s="179"/>
      <c r="N185" s="181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</row>
    <row r="186" ht="15.75" customHeight="1">
      <c r="A186" s="178"/>
      <c r="B186" s="178"/>
      <c r="C186" s="178"/>
      <c r="D186" s="6"/>
      <c r="E186" s="179"/>
      <c r="F186" s="179"/>
      <c r="G186" s="179"/>
      <c r="H186" s="180"/>
      <c r="I186" s="179"/>
      <c r="J186" s="179"/>
      <c r="K186" s="179"/>
      <c r="L186" s="179"/>
      <c r="M186" s="179"/>
      <c r="N186" s="181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</row>
    <row r="187" ht="15.75" customHeight="1">
      <c r="A187" s="178"/>
      <c r="B187" s="178"/>
      <c r="C187" s="178"/>
      <c r="D187" s="6"/>
      <c r="E187" s="179"/>
      <c r="F187" s="179"/>
      <c r="G187" s="179"/>
      <c r="H187" s="180"/>
      <c r="I187" s="179"/>
      <c r="J187" s="179"/>
      <c r="K187" s="179"/>
      <c r="L187" s="179"/>
      <c r="M187" s="179"/>
      <c r="N187" s="181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</row>
    <row r="188" ht="15.75" customHeight="1">
      <c r="A188" s="178"/>
      <c r="B188" s="178"/>
      <c r="C188" s="178"/>
      <c r="D188" s="6"/>
      <c r="E188" s="179"/>
      <c r="F188" s="179"/>
      <c r="G188" s="179"/>
      <c r="H188" s="180"/>
      <c r="I188" s="179"/>
      <c r="J188" s="179"/>
      <c r="K188" s="179"/>
      <c r="L188" s="179"/>
      <c r="M188" s="179"/>
      <c r="N188" s="181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</row>
    <row r="189" ht="15.75" customHeight="1">
      <c r="A189" s="178"/>
      <c r="B189" s="178"/>
      <c r="C189" s="178"/>
      <c r="D189" s="6"/>
      <c r="E189" s="179"/>
      <c r="F189" s="179"/>
      <c r="G189" s="179"/>
      <c r="H189" s="180"/>
      <c r="I189" s="179"/>
      <c r="J189" s="179"/>
      <c r="K189" s="179"/>
      <c r="L189" s="179"/>
      <c r="M189" s="179"/>
      <c r="N189" s="181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</row>
    <row r="190" ht="15.75" customHeight="1">
      <c r="A190" s="178"/>
      <c r="B190" s="178"/>
      <c r="C190" s="178"/>
      <c r="D190" s="6"/>
      <c r="E190" s="179"/>
      <c r="F190" s="179"/>
      <c r="G190" s="179"/>
      <c r="H190" s="180"/>
      <c r="I190" s="179"/>
      <c r="J190" s="179"/>
      <c r="K190" s="179"/>
      <c r="L190" s="179"/>
      <c r="M190" s="179"/>
      <c r="N190" s="181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  <row r="191" ht="15.75" customHeight="1">
      <c r="A191" s="178"/>
      <c r="B191" s="178"/>
      <c r="C191" s="178"/>
      <c r="D191" s="6"/>
      <c r="E191" s="179"/>
      <c r="F191" s="179"/>
      <c r="G191" s="179"/>
      <c r="H191" s="180"/>
      <c r="I191" s="179"/>
      <c r="J191" s="179"/>
      <c r="K191" s="179"/>
      <c r="L191" s="179"/>
      <c r="M191" s="179"/>
      <c r="N191" s="181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</row>
    <row r="192" ht="15.75" customHeight="1">
      <c r="A192" s="178"/>
      <c r="B192" s="178"/>
      <c r="C192" s="178"/>
      <c r="D192" s="6"/>
      <c r="E192" s="179"/>
      <c r="F192" s="179"/>
      <c r="G192" s="179"/>
      <c r="H192" s="180"/>
      <c r="I192" s="179"/>
      <c r="J192" s="179"/>
      <c r="K192" s="179"/>
      <c r="L192" s="179"/>
      <c r="M192" s="179"/>
      <c r="N192" s="181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</row>
    <row r="193" ht="15.75" customHeight="1">
      <c r="A193" s="178"/>
      <c r="B193" s="178"/>
      <c r="C193" s="178"/>
      <c r="D193" s="6"/>
      <c r="E193" s="179"/>
      <c r="F193" s="179"/>
      <c r="G193" s="179"/>
      <c r="H193" s="180"/>
      <c r="I193" s="179"/>
      <c r="J193" s="179"/>
      <c r="K193" s="179"/>
      <c r="L193" s="179"/>
      <c r="M193" s="179"/>
      <c r="N193" s="181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</row>
    <row r="194" ht="15.75" customHeight="1">
      <c r="A194" s="178"/>
      <c r="B194" s="178"/>
      <c r="C194" s="178"/>
      <c r="D194" s="6"/>
      <c r="E194" s="179"/>
      <c r="F194" s="179"/>
      <c r="G194" s="179"/>
      <c r="H194" s="180"/>
      <c r="I194" s="179"/>
      <c r="J194" s="179"/>
      <c r="K194" s="179"/>
      <c r="L194" s="179"/>
      <c r="M194" s="179"/>
      <c r="N194" s="181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</row>
    <row r="195" ht="15.75" customHeight="1">
      <c r="A195" s="178"/>
      <c r="B195" s="178"/>
      <c r="C195" s="178"/>
      <c r="D195" s="6"/>
      <c r="E195" s="179"/>
      <c r="F195" s="179"/>
      <c r="G195" s="179"/>
      <c r="H195" s="180"/>
      <c r="I195" s="179"/>
      <c r="J195" s="179"/>
      <c r="K195" s="179"/>
      <c r="L195" s="179"/>
      <c r="M195" s="179"/>
      <c r="N195" s="181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</row>
    <row r="196" ht="15.75" customHeight="1">
      <c r="A196" s="178"/>
      <c r="B196" s="178"/>
      <c r="C196" s="178"/>
      <c r="D196" s="6"/>
      <c r="E196" s="179"/>
      <c r="F196" s="179"/>
      <c r="G196" s="179"/>
      <c r="H196" s="180"/>
      <c r="I196" s="179"/>
      <c r="J196" s="179"/>
      <c r="K196" s="179"/>
      <c r="L196" s="179"/>
      <c r="M196" s="179"/>
      <c r="N196" s="181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</row>
    <row r="197" ht="15.75" customHeight="1">
      <c r="A197" s="178"/>
      <c r="B197" s="178"/>
      <c r="C197" s="178"/>
      <c r="D197" s="6"/>
      <c r="E197" s="179"/>
      <c r="F197" s="179"/>
      <c r="G197" s="179"/>
      <c r="H197" s="180"/>
      <c r="I197" s="179"/>
      <c r="J197" s="179"/>
      <c r="K197" s="179"/>
      <c r="L197" s="179"/>
      <c r="M197" s="179"/>
      <c r="N197" s="181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</row>
    <row r="198" ht="15.75" customHeight="1">
      <c r="A198" s="178"/>
      <c r="B198" s="178"/>
      <c r="C198" s="178"/>
      <c r="D198" s="6"/>
      <c r="E198" s="179"/>
      <c r="F198" s="179"/>
      <c r="G198" s="179"/>
      <c r="H198" s="180"/>
      <c r="I198" s="179"/>
      <c r="J198" s="179"/>
      <c r="K198" s="179"/>
      <c r="L198" s="179"/>
      <c r="M198" s="179"/>
      <c r="N198" s="181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</row>
    <row r="199" ht="15.75" customHeight="1">
      <c r="A199" s="178"/>
      <c r="B199" s="178"/>
      <c r="C199" s="178"/>
      <c r="D199" s="6"/>
      <c r="E199" s="179"/>
      <c r="F199" s="179"/>
      <c r="G199" s="179"/>
      <c r="H199" s="180"/>
      <c r="I199" s="179"/>
      <c r="J199" s="179"/>
      <c r="K199" s="179"/>
      <c r="L199" s="179"/>
      <c r="M199" s="179"/>
      <c r="N199" s="181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</row>
    <row r="200" ht="15.75" customHeight="1">
      <c r="A200" s="178"/>
      <c r="B200" s="178"/>
      <c r="C200" s="178"/>
      <c r="D200" s="6"/>
      <c r="E200" s="179"/>
      <c r="F200" s="179"/>
      <c r="G200" s="179"/>
      <c r="H200" s="180"/>
      <c r="I200" s="179"/>
      <c r="J200" s="179"/>
      <c r="K200" s="179"/>
      <c r="L200" s="179"/>
      <c r="M200" s="179"/>
      <c r="N200" s="181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</row>
    <row r="201" ht="15.75" customHeight="1">
      <c r="A201" s="178"/>
      <c r="B201" s="178"/>
      <c r="C201" s="178"/>
      <c r="D201" s="6"/>
      <c r="E201" s="179"/>
      <c r="F201" s="179"/>
      <c r="G201" s="179"/>
      <c r="H201" s="180"/>
      <c r="I201" s="179"/>
      <c r="J201" s="179"/>
      <c r="K201" s="179"/>
      <c r="L201" s="179"/>
      <c r="M201" s="179"/>
      <c r="N201" s="181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</row>
    <row r="202" ht="15.75" customHeight="1">
      <c r="A202" s="178"/>
      <c r="B202" s="178"/>
      <c r="C202" s="178"/>
      <c r="D202" s="6"/>
      <c r="E202" s="179"/>
      <c r="F202" s="179"/>
      <c r="G202" s="179"/>
      <c r="H202" s="180"/>
      <c r="I202" s="179"/>
      <c r="J202" s="179"/>
      <c r="K202" s="179"/>
      <c r="L202" s="179"/>
      <c r="M202" s="179"/>
      <c r="N202" s="181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9"/>
      <c r="AK202" s="179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</row>
    <row r="203" ht="15.75" customHeight="1">
      <c r="A203" s="178"/>
      <c r="B203" s="178"/>
      <c r="C203" s="178"/>
      <c r="D203" s="6"/>
      <c r="E203" s="179"/>
      <c r="F203" s="179"/>
      <c r="G203" s="179"/>
      <c r="H203" s="180"/>
      <c r="I203" s="179"/>
      <c r="J203" s="179"/>
      <c r="K203" s="179"/>
      <c r="L203" s="179"/>
      <c r="M203" s="179"/>
      <c r="N203" s="181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</row>
    <row r="204" ht="15.75" customHeight="1">
      <c r="A204" s="178"/>
      <c r="B204" s="178"/>
      <c r="C204" s="178"/>
      <c r="D204" s="6"/>
      <c r="E204" s="179"/>
      <c r="F204" s="179"/>
      <c r="G204" s="179"/>
      <c r="H204" s="180"/>
      <c r="I204" s="179"/>
      <c r="J204" s="179"/>
      <c r="K204" s="179"/>
      <c r="L204" s="179"/>
      <c r="M204" s="179"/>
      <c r="N204" s="181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</row>
    <row r="205" ht="15.75" customHeight="1">
      <c r="A205" s="178"/>
      <c r="B205" s="178"/>
      <c r="C205" s="178"/>
      <c r="D205" s="6"/>
      <c r="E205" s="179"/>
      <c r="F205" s="179"/>
      <c r="G205" s="179"/>
      <c r="H205" s="180"/>
      <c r="I205" s="179"/>
      <c r="J205" s="179"/>
      <c r="K205" s="179"/>
      <c r="L205" s="179"/>
      <c r="M205" s="179"/>
      <c r="N205" s="181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</row>
    <row r="206" ht="15.75" customHeight="1">
      <c r="A206" s="178"/>
      <c r="B206" s="178"/>
      <c r="C206" s="178"/>
      <c r="D206" s="6"/>
      <c r="E206" s="179"/>
      <c r="F206" s="179"/>
      <c r="G206" s="179"/>
      <c r="H206" s="180"/>
      <c r="I206" s="179"/>
      <c r="J206" s="179"/>
      <c r="K206" s="179"/>
      <c r="L206" s="179"/>
      <c r="M206" s="179"/>
      <c r="N206" s="181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</row>
    <row r="207" ht="15.75" customHeight="1">
      <c r="A207" s="178"/>
      <c r="B207" s="178"/>
      <c r="C207" s="178"/>
      <c r="D207" s="6"/>
      <c r="E207" s="179"/>
      <c r="F207" s="179"/>
      <c r="G207" s="179"/>
      <c r="H207" s="180"/>
      <c r="I207" s="179"/>
      <c r="J207" s="179"/>
      <c r="K207" s="179"/>
      <c r="L207" s="179"/>
      <c r="M207" s="179"/>
      <c r="N207" s="181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</row>
    <row r="208" ht="15.75" customHeight="1">
      <c r="A208" s="178"/>
      <c r="B208" s="178"/>
      <c r="C208" s="178"/>
      <c r="D208" s="6"/>
      <c r="E208" s="6"/>
      <c r="F208" s="6"/>
      <c r="G208" s="6"/>
      <c r="H208" s="180"/>
      <c r="I208" s="179"/>
      <c r="J208" s="179"/>
      <c r="K208" s="179"/>
      <c r="L208" s="179"/>
      <c r="M208" s="179"/>
      <c r="N208" s="181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</row>
    <row r="209" ht="15.75" customHeight="1">
      <c r="A209" s="178"/>
      <c r="B209" s="178"/>
      <c r="C209" s="178"/>
      <c r="D209" s="6"/>
      <c r="E209" s="6"/>
      <c r="F209" s="6"/>
      <c r="G209" s="6"/>
      <c r="H209" s="180"/>
      <c r="I209" s="179"/>
      <c r="J209" s="179"/>
      <c r="K209" s="179"/>
      <c r="L209" s="179"/>
      <c r="M209" s="179"/>
      <c r="N209" s="181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</row>
    <row r="210" ht="15.75" customHeight="1">
      <c r="A210" s="178"/>
      <c r="B210" s="178"/>
      <c r="C210" s="178"/>
      <c r="D210" s="6"/>
      <c r="E210" s="6"/>
      <c r="F210" s="6"/>
      <c r="G210" s="6"/>
      <c r="H210" s="180"/>
      <c r="I210" s="179"/>
      <c r="J210" s="179"/>
      <c r="K210" s="179"/>
      <c r="L210" s="179"/>
      <c r="M210" s="179"/>
      <c r="N210" s="181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</row>
    <row r="211" ht="15.75" customHeight="1">
      <c r="A211" s="178"/>
      <c r="B211" s="178"/>
      <c r="C211" s="178"/>
      <c r="D211" s="6"/>
      <c r="E211" s="6"/>
      <c r="F211" s="6"/>
      <c r="G211" s="6"/>
      <c r="H211" s="180"/>
      <c r="I211" s="179"/>
      <c r="J211" s="179"/>
      <c r="K211" s="179"/>
      <c r="L211" s="179"/>
      <c r="M211" s="179"/>
      <c r="N211" s="181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</row>
    <row r="212" ht="15.75" customHeight="1">
      <c r="A212" s="178"/>
      <c r="B212" s="178"/>
      <c r="C212" s="178"/>
      <c r="D212" s="6"/>
      <c r="E212" s="6"/>
      <c r="F212" s="6"/>
      <c r="G212" s="6"/>
      <c r="H212" s="180"/>
      <c r="I212" s="179"/>
      <c r="J212" s="179"/>
      <c r="K212" s="179"/>
      <c r="L212" s="179"/>
      <c r="M212" s="179"/>
      <c r="N212" s="181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</row>
    <row r="213" ht="15.75" customHeight="1">
      <c r="A213" s="178"/>
      <c r="B213" s="178"/>
      <c r="C213" s="178"/>
      <c r="D213" s="6"/>
      <c r="E213" s="6"/>
      <c r="F213" s="6"/>
      <c r="G213" s="6"/>
      <c r="H213" s="180"/>
      <c r="I213" s="179"/>
      <c r="J213" s="179"/>
      <c r="K213" s="179"/>
      <c r="L213" s="179"/>
      <c r="M213" s="179"/>
      <c r="N213" s="181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</row>
    <row r="214" ht="15.75" customHeight="1">
      <c r="A214" s="178"/>
      <c r="B214" s="178"/>
      <c r="C214" s="178"/>
      <c r="D214" s="6"/>
      <c r="E214" s="6"/>
      <c r="F214" s="6"/>
      <c r="G214" s="6"/>
      <c r="H214" s="180"/>
      <c r="I214" s="179"/>
      <c r="J214" s="179"/>
      <c r="K214" s="179"/>
      <c r="L214" s="179"/>
      <c r="M214" s="179"/>
      <c r="N214" s="181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</row>
    <row r="215" ht="15.75" customHeight="1">
      <c r="A215" s="178"/>
      <c r="B215" s="178"/>
      <c r="C215" s="178"/>
      <c r="D215" s="6"/>
      <c r="E215" s="6"/>
      <c r="F215" s="6"/>
      <c r="G215" s="6"/>
      <c r="H215" s="180"/>
      <c r="I215" s="179"/>
      <c r="J215" s="179"/>
      <c r="K215" s="179"/>
      <c r="L215" s="179"/>
      <c r="M215" s="179"/>
      <c r="N215" s="181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</row>
    <row r="216" ht="15.75" customHeight="1">
      <c r="A216" s="178"/>
      <c r="B216" s="178"/>
      <c r="C216" s="178"/>
      <c r="D216" s="6"/>
      <c r="E216" s="6"/>
      <c r="F216" s="6"/>
      <c r="G216" s="6"/>
      <c r="H216" s="180"/>
      <c r="I216" s="179"/>
      <c r="J216" s="179"/>
      <c r="K216" s="179"/>
      <c r="L216" s="179"/>
      <c r="M216" s="179"/>
      <c r="N216" s="181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</row>
    <row r="217" ht="15.75" customHeight="1">
      <c r="A217" s="178"/>
      <c r="B217" s="178"/>
      <c r="C217" s="178"/>
      <c r="D217" s="6"/>
      <c r="E217" s="6"/>
      <c r="F217" s="6"/>
      <c r="G217" s="6"/>
      <c r="H217" s="180"/>
      <c r="I217" s="179"/>
      <c r="J217" s="179"/>
      <c r="K217" s="179"/>
      <c r="L217" s="179"/>
      <c r="M217" s="179"/>
      <c r="N217" s="181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</row>
    <row r="218" ht="15.75" customHeight="1">
      <c r="A218" s="178"/>
      <c r="B218" s="178"/>
      <c r="C218" s="178"/>
      <c r="D218" s="6"/>
      <c r="E218" s="6"/>
      <c r="F218" s="6"/>
      <c r="G218" s="6"/>
      <c r="H218" s="180"/>
      <c r="I218" s="179"/>
      <c r="J218" s="179"/>
      <c r="K218" s="179"/>
      <c r="L218" s="179"/>
      <c r="M218" s="179"/>
      <c r="N218" s="181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ht="15.75" customHeight="1">
      <c r="A219" s="178"/>
      <c r="B219" s="178"/>
      <c r="C219" s="178"/>
      <c r="D219" s="6"/>
      <c r="E219" s="6"/>
      <c r="F219" s="6"/>
      <c r="G219" s="6"/>
      <c r="H219" s="180"/>
      <c r="I219" s="179"/>
      <c r="J219" s="179"/>
      <c r="K219" s="179"/>
      <c r="L219" s="179"/>
      <c r="M219" s="179"/>
      <c r="N219" s="181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</row>
    <row r="220" ht="15.75" customHeight="1">
      <c r="A220" s="178"/>
      <c r="B220" s="178"/>
      <c r="C220" s="178"/>
      <c r="D220" s="6"/>
      <c r="E220" s="6"/>
      <c r="F220" s="6"/>
      <c r="G220" s="6"/>
      <c r="H220" s="180"/>
      <c r="I220" s="179"/>
      <c r="J220" s="179"/>
      <c r="K220" s="179"/>
      <c r="L220" s="179"/>
      <c r="M220" s="179"/>
      <c r="N220" s="181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  <c r="AK220" s="179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</row>
    <row r="221" ht="15.75" customHeight="1">
      <c r="A221" s="178"/>
      <c r="B221" s="178"/>
      <c r="C221" s="178"/>
      <c r="D221" s="6"/>
      <c r="E221" s="6"/>
      <c r="F221" s="6"/>
      <c r="G221" s="6"/>
      <c r="H221" s="180"/>
      <c r="I221" s="179"/>
      <c r="J221" s="179"/>
      <c r="K221" s="179"/>
      <c r="L221" s="179"/>
      <c r="M221" s="179"/>
      <c r="N221" s="181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</row>
    <row r="222" ht="15.75" customHeight="1">
      <c r="A222" s="178"/>
      <c r="B222" s="178"/>
      <c r="C222" s="178"/>
      <c r="D222" s="6"/>
      <c r="E222" s="6"/>
      <c r="F222" s="6"/>
      <c r="G222" s="6"/>
      <c r="H222" s="180"/>
      <c r="I222" s="179"/>
      <c r="J222" s="179"/>
      <c r="K222" s="179"/>
      <c r="L222" s="179"/>
      <c r="M222" s="179"/>
      <c r="N222" s="181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</row>
    <row r="223" ht="15.75" customHeight="1">
      <c r="A223" s="178"/>
      <c r="B223" s="178"/>
      <c r="C223" s="178"/>
      <c r="D223" s="6"/>
      <c r="E223" s="6"/>
      <c r="F223" s="6"/>
      <c r="G223" s="6"/>
      <c r="H223" s="180"/>
      <c r="I223" s="179"/>
      <c r="J223" s="179"/>
      <c r="K223" s="179"/>
      <c r="L223" s="179"/>
      <c r="M223" s="179"/>
      <c r="N223" s="181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</row>
    <row r="224" ht="15.75" customHeight="1">
      <c r="A224" s="178"/>
      <c r="B224" s="178"/>
      <c r="C224" s="178"/>
      <c r="D224" s="6"/>
      <c r="E224" s="6"/>
      <c r="F224" s="6"/>
      <c r="G224" s="6"/>
      <c r="H224" s="180"/>
      <c r="I224" s="179"/>
      <c r="J224" s="179"/>
      <c r="K224" s="179"/>
      <c r="L224" s="179"/>
      <c r="M224" s="179"/>
      <c r="N224" s="181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ht="15.75" customHeight="1">
      <c r="A225" s="178"/>
      <c r="B225" s="178"/>
      <c r="C225" s="178"/>
      <c r="D225" s="6"/>
      <c r="E225" s="6"/>
      <c r="F225" s="6"/>
      <c r="G225" s="6"/>
      <c r="H225" s="180"/>
      <c r="I225" s="179"/>
      <c r="J225" s="179"/>
      <c r="K225" s="179"/>
      <c r="L225" s="179"/>
      <c r="M225" s="179"/>
      <c r="N225" s="181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</row>
    <row r="226" ht="15.75" customHeight="1">
      <c r="A226" s="178"/>
      <c r="B226" s="178"/>
      <c r="C226" s="178"/>
      <c r="D226" s="6"/>
      <c r="E226" s="6"/>
      <c r="F226" s="6"/>
      <c r="G226" s="6"/>
      <c r="H226" s="180"/>
      <c r="I226" s="179"/>
      <c r="J226" s="179"/>
      <c r="K226" s="179"/>
      <c r="L226" s="179"/>
      <c r="M226" s="179"/>
      <c r="N226" s="181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ht="15.75" customHeight="1">
      <c r="A227" s="178"/>
      <c r="B227" s="178"/>
      <c r="C227" s="178"/>
      <c r="D227" s="6"/>
      <c r="E227" s="6"/>
      <c r="F227" s="6"/>
      <c r="G227" s="6"/>
      <c r="H227" s="180"/>
      <c r="I227" s="179"/>
      <c r="J227" s="179"/>
      <c r="K227" s="179"/>
      <c r="L227" s="179"/>
      <c r="M227" s="179"/>
      <c r="N227" s="181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</row>
    <row r="228" ht="15.75" customHeight="1">
      <c r="A228" s="178"/>
      <c r="B228" s="178"/>
      <c r="C228" s="178"/>
      <c r="D228" s="6"/>
      <c r="E228" s="6"/>
      <c r="F228" s="6"/>
      <c r="G228" s="6"/>
      <c r="H228" s="180"/>
      <c r="I228" s="179"/>
      <c r="J228" s="179"/>
      <c r="K228" s="179"/>
      <c r="L228" s="179"/>
      <c r="M228" s="179"/>
      <c r="N228" s="181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ht="15.75" customHeight="1">
      <c r="A229" s="178"/>
      <c r="B229" s="178"/>
      <c r="C229" s="178"/>
      <c r="D229" s="6"/>
      <c r="E229" s="6"/>
      <c r="F229" s="6"/>
      <c r="G229" s="6"/>
      <c r="H229" s="180"/>
      <c r="I229" s="179"/>
      <c r="J229" s="179"/>
      <c r="K229" s="179"/>
      <c r="L229" s="179"/>
      <c r="M229" s="179"/>
      <c r="N229" s="181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ht="15.75" customHeight="1">
      <c r="A230" s="178"/>
      <c r="B230" s="178"/>
      <c r="C230" s="178"/>
      <c r="D230" s="6"/>
      <c r="E230" s="6"/>
      <c r="F230" s="6"/>
      <c r="G230" s="6"/>
      <c r="H230" s="180"/>
      <c r="I230" s="179"/>
      <c r="J230" s="179"/>
      <c r="K230" s="179"/>
      <c r="L230" s="179"/>
      <c r="M230" s="179"/>
      <c r="N230" s="181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ht="15.75" customHeight="1">
      <c r="A231" s="178"/>
      <c r="B231" s="178"/>
      <c r="C231" s="178"/>
      <c r="D231" s="6"/>
      <c r="E231" s="6"/>
      <c r="F231" s="6"/>
      <c r="G231" s="6"/>
      <c r="H231" s="180"/>
      <c r="I231" s="179"/>
      <c r="J231" s="179"/>
      <c r="K231" s="179"/>
      <c r="L231" s="179"/>
      <c r="M231" s="179"/>
      <c r="N231" s="181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ht="15.75" customHeight="1">
      <c r="A232" s="178"/>
      <c r="B232" s="178"/>
      <c r="C232" s="178"/>
      <c r="D232" s="6"/>
      <c r="E232" s="6"/>
      <c r="F232" s="6"/>
      <c r="G232" s="6"/>
      <c r="H232" s="180"/>
      <c r="I232" s="179"/>
      <c r="J232" s="179"/>
      <c r="K232" s="179"/>
      <c r="L232" s="179"/>
      <c r="M232" s="179"/>
      <c r="N232" s="181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ht="15.75" customHeight="1">
      <c r="A233" s="178"/>
      <c r="B233" s="178"/>
      <c r="C233" s="178"/>
      <c r="D233" s="6"/>
      <c r="E233" s="6"/>
      <c r="F233" s="6"/>
      <c r="G233" s="6"/>
      <c r="H233" s="180"/>
      <c r="I233" s="179"/>
      <c r="J233" s="179"/>
      <c r="K233" s="179"/>
      <c r="L233" s="179"/>
      <c r="M233" s="179"/>
      <c r="N233" s="181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</row>
    <row r="234" ht="15.75" customHeight="1">
      <c r="A234" s="178"/>
      <c r="B234" s="178"/>
      <c r="C234" s="178"/>
      <c r="D234" s="6"/>
      <c r="E234" s="6"/>
      <c r="F234" s="6"/>
      <c r="G234" s="6"/>
      <c r="H234" s="180"/>
      <c r="I234" s="179"/>
      <c r="J234" s="179"/>
      <c r="K234" s="179"/>
      <c r="L234" s="179"/>
      <c r="M234" s="179"/>
      <c r="N234" s="181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ht="15.75" customHeight="1">
      <c r="A235" s="178"/>
      <c r="B235" s="178"/>
      <c r="C235" s="178"/>
      <c r="D235" s="6"/>
      <c r="E235" s="6"/>
      <c r="F235" s="6"/>
      <c r="G235" s="6"/>
      <c r="H235" s="180"/>
      <c r="I235" s="179"/>
      <c r="J235" s="179"/>
      <c r="K235" s="179"/>
      <c r="L235" s="179"/>
      <c r="M235" s="179"/>
      <c r="N235" s="181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</row>
    <row r="236" ht="15.75" customHeight="1">
      <c r="A236" s="178"/>
      <c r="B236" s="178"/>
      <c r="C236" s="178"/>
      <c r="D236" s="6"/>
      <c r="E236" s="6"/>
      <c r="F236" s="6"/>
      <c r="G236" s="6"/>
      <c r="H236" s="180"/>
      <c r="I236" s="179"/>
      <c r="J236" s="179"/>
      <c r="K236" s="179"/>
      <c r="L236" s="179"/>
      <c r="M236" s="179"/>
      <c r="N236" s="181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ht="15.75" customHeight="1">
      <c r="A237" s="178"/>
      <c r="B237" s="178"/>
      <c r="C237" s="178"/>
      <c r="D237" s="6"/>
      <c r="E237" s="6"/>
      <c r="F237" s="6"/>
      <c r="G237" s="6"/>
      <c r="H237" s="180"/>
      <c r="I237" s="179"/>
      <c r="J237" s="179"/>
      <c r="K237" s="179"/>
      <c r="L237" s="179"/>
      <c r="M237" s="179"/>
      <c r="N237" s="181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9"/>
      <c r="AK237" s="179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ht="15.75" customHeight="1">
      <c r="A238" s="178"/>
      <c r="B238" s="178"/>
      <c r="C238" s="178"/>
      <c r="D238" s="6"/>
      <c r="E238" s="6"/>
      <c r="F238" s="6"/>
      <c r="G238" s="6"/>
      <c r="H238" s="180"/>
      <c r="I238" s="179"/>
      <c r="J238" s="179"/>
      <c r="K238" s="179"/>
      <c r="L238" s="179"/>
      <c r="M238" s="179"/>
      <c r="N238" s="181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79"/>
      <c r="AK238" s="179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</row>
    <row r="239" ht="15.75" customHeight="1">
      <c r="A239" s="178"/>
      <c r="B239" s="178"/>
      <c r="C239" s="178"/>
      <c r="D239" s="6"/>
      <c r="E239" s="6"/>
      <c r="F239" s="6"/>
      <c r="G239" s="6"/>
      <c r="H239" s="180"/>
      <c r="I239" s="179"/>
      <c r="J239" s="179"/>
      <c r="K239" s="179"/>
      <c r="L239" s="179"/>
      <c r="M239" s="179"/>
      <c r="N239" s="181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ht="15.75" customHeight="1">
      <c r="A240" s="178"/>
      <c r="B240" s="178"/>
      <c r="C240" s="178"/>
      <c r="D240" s="6"/>
      <c r="E240" s="6"/>
      <c r="F240" s="6"/>
      <c r="G240" s="6"/>
      <c r="H240" s="180"/>
      <c r="I240" s="179"/>
      <c r="J240" s="179"/>
      <c r="K240" s="179"/>
      <c r="L240" s="179"/>
      <c r="M240" s="179"/>
      <c r="N240" s="181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</row>
    <row r="241" ht="15.75" customHeight="1">
      <c r="A241" s="178"/>
      <c r="B241" s="178"/>
      <c r="C241" s="178"/>
      <c r="D241" s="6"/>
      <c r="E241" s="6"/>
      <c r="F241" s="6"/>
      <c r="G241" s="6"/>
      <c r="H241" s="180"/>
      <c r="I241" s="179"/>
      <c r="J241" s="179"/>
      <c r="K241" s="179"/>
      <c r="L241" s="179"/>
      <c r="M241" s="179"/>
      <c r="N241" s="181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ht="15.75" customHeight="1">
      <c r="A242" s="178"/>
      <c r="B242" s="178"/>
      <c r="C242" s="178"/>
      <c r="D242" s="6"/>
      <c r="E242" s="6"/>
      <c r="F242" s="6"/>
      <c r="G242" s="6"/>
      <c r="H242" s="180"/>
      <c r="I242" s="179"/>
      <c r="J242" s="179"/>
      <c r="K242" s="179"/>
      <c r="L242" s="179"/>
      <c r="M242" s="179"/>
      <c r="N242" s="181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</row>
    <row r="243" ht="15.75" customHeight="1">
      <c r="A243" s="178"/>
      <c r="B243" s="178"/>
      <c r="C243" s="178"/>
      <c r="D243" s="6"/>
      <c r="E243" s="6"/>
      <c r="F243" s="6"/>
      <c r="G243" s="6"/>
      <c r="H243" s="180"/>
      <c r="I243" s="179"/>
      <c r="J243" s="179"/>
      <c r="K243" s="179"/>
      <c r="L243" s="179"/>
      <c r="M243" s="179"/>
      <c r="N243" s="181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</row>
    <row r="244" ht="15.75" customHeight="1">
      <c r="A244" s="178"/>
      <c r="B244" s="178"/>
      <c r="C244" s="178"/>
      <c r="D244" s="6"/>
      <c r="E244" s="6"/>
      <c r="F244" s="6"/>
      <c r="G244" s="6"/>
      <c r="H244" s="180"/>
      <c r="I244" s="179"/>
      <c r="J244" s="179"/>
      <c r="K244" s="179"/>
      <c r="L244" s="179"/>
      <c r="M244" s="179"/>
      <c r="N244" s="181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</row>
    <row r="245" ht="15.75" customHeight="1">
      <c r="A245" s="178"/>
      <c r="B245" s="178"/>
      <c r="C245" s="178"/>
      <c r="D245" s="6"/>
      <c r="E245" s="6"/>
      <c r="F245" s="6"/>
      <c r="G245" s="6"/>
      <c r="H245" s="180"/>
      <c r="I245" s="179"/>
      <c r="J245" s="179"/>
      <c r="K245" s="179"/>
      <c r="L245" s="179"/>
      <c r="M245" s="179"/>
      <c r="N245" s="181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</row>
    <row r="246" ht="15.75" customHeight="1">
      <c r="A246" s="178"/>
      <c r="B246" s="178"/>
      <c r="C246" s="178"/>
      <c r="D246" s="6"/>
      <c r="E246" s="6"/>
      <c r="F246" s="6"/>
      <c r="G246" s="6"/>
      <c r="H246" s="180"/>
      <c r="I246" s="179"/>
      <c r="J246" s="179"/>
      <c r="K246" s="179"/>
      <c r="L246" s="179"/>
      <c r="M246" s="179"/>
      <c r="N246" s="181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</row>
    <row r="247" ht="15.75" customHeight="1">
      <c r="A247" s="178"/>
      <c r="B247" s="178"/>
      <c r="C247" s="178"/>
      <c r="D247" s="6"/>
      <c r="E247" s="6"/>
      <c r="F247" s="6"/>
      <c r="G247" s="6"/>
      <c r="H247" s="180"/>
      <c r="I247" s="179"/>
      <c r="J247" s="179"/>
      <c r="K247" s="179"/>
      <c r="L247" s="179"/>
      <c r="M247" s="179"/>
      <c r="N247" s="181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</row>
    <row r="248" ht="15.75" customHeight="1">
      <c r="A248" s="178"/>
      <c r="B248" s="178"/>
      <c r="C248" s="178"/>
      <c r="D248" s="6"/>
      <c r="E248" s="6"/>
      <c r="F248" s="6"/>
      <c r="G248" s="6"/>
      <c r="H248" s="180"/>
      <c r="I248" s="179"/>
      <c r="J248" s="179"/>
      <c r="K248" s="179"/>
      <c r="L248" s="179"/>
      <c r="M248" s="179"/>
      <c r="N248" s="181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</row>
    <row r="249" ht="15.75" customHeight="1">
      <c r="A249" s="178"/>
      <c r="B249" s="178"/>
      <c r="C249" s="178"/>
      <c r="D249" s="6"/>
      <c r="E249" s="6"/>
      <c r="F249" s="6"/>
      <c r="G249" s="6"/>
      <c r="H249" s="180"/>
      <c r="I249" s="179"/>
      <c r="J249" s="179"/>
      <c r="K249" s="179"/>
      <c r="L249" s="179"/>
      <c r="M249" s="179"/>
      <c r="N249" s="181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</row>
    <row r="250" ht="15.75" customHeight="1">
      <c r="A250" s="178"/>
      <c r="B250" s="178"/>
      <c r="C250" s="178"/>
      <c r="D250" s="6"/>
      <c r="E250" s="6"/>
      <c r="F250" s="6"/>
      <c r="G250" s="6"/>
      <c r="H250" s="180"/>
      <c r="I250" s="179"/>
      <c r="J250" s="179"/>
      <c r="K250" s="179"/>
      <c r="L250" s="179"/>
      <c r="M250" s="179"/>
      <c r="N250" s="181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</row>
    <row r="251" ht="15.75" customHeight="1">
      <c r="A251" s="178"/>
      <c r="B251" s="178"/>
      <c r="C251" s="178"/>
      <c r="D251" s="6"/>
      <c r="E251" s="6"/>
      <c r="F251" s="6"/>
      <c r="G251" s="6"/>
      <c r="H251" s="180"/>
      <c r="I251" s="179"/>
      <c r="J251" s="179"/>
      <c r="K251" s="179"/>
      <c r="L251" s="179"/>
      <c r="M251" s="179"/>
      <c r="N251" s="181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79"/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</row>
    <row r="252" ht="15.75" customHeight="1">
      <c r="A252" s="178"/>
      <c r="B252" s="178"/>
      <c r="C252" s="178"/>
      <c r="D252" s="6"/>
      <c r="E252" s="6"/>
      <c r="F252" s="6"/>
      <c r="G252" s="6"/>
      <c r="H252" s="180"/>
      <c r="I252" s="179"/>
      <c r="J252" s="179"/>
      <c r="K252" s="179"/>
      <c r="L252" s="179"/>
      <c r="M252" s="179"/>
      <c r="N252" s="181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79"/>
      <c r="AC252" s="179"/>
      <c r="AD252" s="179"/>
      <c r="AE252" s="179"/>
      <c r="AF252" s="179"/>
      <c r="AG252" s="179"/>
      <c r="AH252" s="179"/>
      <c r="AI252" s="179"/>
      <c r="AJ252" s="179"/>
      <c r="AK252" s="179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</row>
    <row r="253" ht="15.75" customHeight="1">
      <c r="A253" s="178"/>
      <c r="B253" s="178"/>
      <c r="C253" s="178"/>
      <c r="D253" s="6"/>
      <c r="E253" s="6"/>
      <c r="F253" s="6"/>
      <c r="G253" s="6"/>
      <c r="H253" s="180"/>
      <c r="I253" s="179"/>
      <c r="J253" s="179"/>
      <c r="K253" s="179"/>
      <c r="L253" s="179"/>
      <c r="M253" s="179"/>
      <c r="N253" s="181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</row>
    <row r="254" ht="15.75" customHeight="1">
      <c r="A254" s="178"/>
      <c r="B254" s="178"/>
      <c r="C254" s="178"/>
      <c r="D254" s="6"/>
      <c r="E254" s="6"/>
      <c r="F254" s="6"/>
      <c r="G254" s="6"/>
      <c r="H254" s="180"/>
      <c r="I254" s="179"/>
      <c r="J254" s="179"/>
      <c r="K254" s="179"/>
      <c r="L254" s="179"/>
      <c r="M254" s="179"/>
      <c r="N254" s="181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</row>
    <row r="255" ht="15.75" customHeight="1">
      <c r="A255" s="178"/>
      <c r="B255" s="178"/>
      <c r="C255" s="178"/>
      <c r="D255" s="6"/>
      <c r="E255" s="6"/>
      <c r="F255" s="6"/>
      <c r="G255" s="6"/>
      <c r="H255" s="180"/>
      <c r="I255" s="179"/>
      <c r="J255" s="179"/>
      <c r="K255" s="179"/>
      <c r="L255" s="179"/>
      <c r="M255" s="179"/>
      <c r="N255" s="181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79"/>
      <c r="AE255" s="179"/>
      <c r="AF255" s="179"/>
      <c r="AG255" s="179"/>
      <c r="AH255" s="179"/>
      <c r="AI255" s="179"/>
      <c r="AJ255" s="179"/>
      <c r="AK255" s="179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</row>
    <row r="256" ht="15.75" customHeight="1">
      <c r="A256" s="178"/>
      <c r="B256" s="178"/>
      <c r="C256" s="178"/>
      <c r="D256" s="6"/>
      <c r="E256" s="6"/>
      <c r="F256" s="6"/>
      <c r="G256" s="6"/>
      <c r="H256" s="180"/>
      <c r="I256" s="179"/>
      <c r="J256" s="179"/>
      <c r="K256" s="179"/>
      <c r="L256" s="179"/>
      <c r="M256" s="179"/>
      <c r="N256" s="181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79"/>
      <c r="AC256" s="179"/>
      <c r="AD256" s="179"/>
      <c r="AE256" s="179"/>
      <c r="AF256" s="179"/>
      <c r="AG256" s="179"/>
      <c r="AH256" s="179"/>
      <c r="AI256" s="179"/>
      <c r="AJ256" s="179"/>
      <c r="AK256" s="179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</row>
    <row r="257" ht="15.75" customHeight="1">
      <c r="A257" s="178"/>
      <c r="B257" s="178"/>
      <c r="C257" s="178"/>
      <c r="D257" s="6"/>
      <c r="E257" s="6"/>
      <c r="F257" s="6"/>
      <c r="G257" s="6"/>
      <c r="H257" s="180"/>
      <c r="I257" s="179"/>
      <c r="J257" s="179"/>
      <c r="K257" s="179"/>
      <c r="L257" s="179"/>
      <c r="M257" s="179"/>
      <c r="N257" s="181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  <c r="AK257" s="179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</row>
    <row r="258" ht="15.75" customHeight="1">
      <c r="A258" s="178"/>
      <c r="B258" s="178"/>
      <c r="C258" s="178"/>
      <c r="D258" s="6"/>
      <c r="E258" s="6"/>
      <c r="F258" s="6"/>
      <c r="G258" s="6"/>
      <c r="H258" s="180"/>
      <c r="I258" s="179"/>
      <c r="J258" s="179"/>
      <c r="K258" s="179"/>
      <c r="L258" s="179"/>
      <c r="M258" s="179"/>
      <c r="N258" s="181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</row>
    <row r="259" ht="15.75" customHeight="1">
      <c r="A259" s="178"/>
      <c r="B259" s="178"/>
      <c r="C259" s="178"/>
      <c r="D259" s="6"/>
      <c r="E259" s="6"/>
      <c r="F259" s="6"/>
      <c r="G259" s="6"/>
      <c r="H259" s="180"/>
      <c r="I259" s="179"/>
      <c r="J259" s="179"/>
      <c r="K259" s="179"/>
      <c r="L259" s="179"/>
      <c r="M259" s="179"/>
      <c r="N259" s="181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</row>
    <row r="260" ht="15.75" customHeight="1">
      <c r="A260" s="178"/>
      <c r="B260" s="178"/>
      <c r="C260" s="178"/>
      <c r="D260" s="6"/>
      <c r="E260" s="6"/>
      <c r="F260" s="6"/>
      <c r="G260" s="6"/>
      <c r="H260" s="180"/>
      <c r="I260" s="179"/>
      <c r="J260" s="179"/>
      <c r="K260" s="179"/>
      <c r="L260" s="179"/>
      <c r="M260" s="179"/>
      <c r="N260" s="181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</row>
    <row r="261" ht="15.75" customHeight="1">
      <c r="A261" s="178"/>
      <c r="B261" s="178"/>
      <c r="C261" s="178"/>
      <c r="D261" s="6"/>
      <c r="E261" s="6"/>
      <c r="F261" s="6"/>
      <c r="G261" s="6"/>
      <c r="H261" s="180"/>
      <c r="I261" s="179"/>
      <c r="J261" s="179"/>
      <c r="K261" s="179"/>
      <c r="L261" s="179"/>
      <c r="M261" s="179"/>
      <c r="N261" s="181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</row>
    <row r="262" ht="15.75" customHeight="1">
      <c r="A262" s="178"/>
      <c r="B262" s="178"/>
      <c r="C262" s="178"/>
      <c r="D262" s="6"/>
      <c r="E262" s="6"/>
      <c r="F262" s="6"/>
      <c r="G262" s="6"/>
      <c r="H262" s="180"/>
      <c r="I262" s="179"/>
      <c r="J262" s="179"/>
      <c r="K262" s="179"/>
      <c r="L262" s="179"/>
      <c r="M262" s="179"/>
      <c r="N262" s="181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</row>
    <row r="263" ht="15.75" customHeight="1">
      <c r="A263" s="178"/>
      <c r="B263" s="178"/>
      <c r="C263" s="178"/>
      <c r="D263" s="6"/>
      <c r="E263" s="6"/>
      <c r="F263" s="6"/>
      <c r="G263" s="6"/>
      <c r="H263" s="180"/>
      <c r="I263" s="179"/>
      <c r="J263" s="179"/>
      <c r="K263" s="179"/>
      <c r="L263" s="179"/>
      <c r="M263" s="179"/>
      <c r="N263" s="181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</row>
    <row r="264" ht="15.75" customHeight="1">
      <c r="A264" s="178"/>
      <c r="B264" s="178"/>
      <c r="C264" s="178"/>
      <c r="D264" s="6"/>
      <c r="E264" s="6"/>
      <c r="F264" s="6"/>
      <c r="G264" s="6"/>
      <c r="H264" s="180"/>
      <c r="I264" s="179"/>
      <c r="J264" s="179"/>
      <c r="K264" s="179"/>
      <c r="L264" s="179"/>
      <c r="M264" s="179"/>
      <c r="N264" s="181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</row>
    <row r="265" ht="15.75" customHeight="1">
      <c r="A265" s="178"/>
      <c r="B265" s="178"/>
      <c r="C265" s="178"/>
      <c r="D265" s="6"/>
      <c r="E265" s="6"/>
      <c r="F265" s="6"/>
      <c r="G265" s="6"/>
      <c r="H265" s="180"/>
      <c r="I265" s="179"/>
      <c r="J265" s="179"/>
      <c r="K265" s="179"/>
      <c r="L265" s="179"/>
      <c r="M265" s="179"/>
      <c r="N265" s="181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</row>
    <row r="266" ht="15.75" customHeight="1">
      <c r="A266" s="178"/>
      <c r="B266" s="178"/>
      <c r="C266" s="178"/>
      <c r="D266" s="6"/>
      <c r="E266" s="6"/>
      <c r="F266" s="6"/>
      <c r="G266" s="6"/>
      <c r="H266" s="180"/>
      <c r="I266" s="179"/>
      <c r="J266" s="179"/>
      <c r="K266" s="179"/>
      <c r="L266" s="179"/>
      <c r="M266" s="179"/>
      <c r="N266" s="181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</row>
    <row r="267" ht="15.75" customHeight="1">
      <c r="A267" s="178"/>
      <c r="B267" s="178"/>
      <c r="C267" s="178"/>
      <c r="D267" s="6"/>
      <c r="E267" s="6"/>
      <c r="F267" s="6"/>
      <c r="G267" s="6"/>
      <c r="H267" s="180"/>
      <c r="I267" s="179"/>
      <c r="J267" s="179"/>
      <c r="K267" s="179"/>
      <c r="L267" s="179"/>
      <c r="M267" s="179"/>
      <c r="N267" s="181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79"/>
      <c r="AC267" s="179"/>
      <c r="AD267" s="179"/>
      <c r="AE267" s="179"/>
      <c r="AF267" s="179"/>
      <c r="AG267" s="179"/>
      <c r="AH267" s="179"/>
      <c r="AI267" s="179"/>
      <c r="AJ267" s="179"/>
      <c r="AK267" s="179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</row>
    <row r="268" ht="15.75" customHeight="1">
      <c r="A268" s="178"/>
      <c r="B268" s="178"/>
      <c r="C268" s="178"/>
      <c r="D268" s="6"/>
      <c r="E268" s="6"/>
      <c r="F268" s="6"/>
      <c r="G268" s="6"/>
      <c r="H268" s="180"/>
      <c r="I268" s="179"/>
      <c r="J268" s="179"/>
      <c r="K268" s="179"/>
      <c r="L268" s="179"/>
      <c r="M268" s="179"/>
      <c r="N268" s="181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79"/>
      <c r="AC268" s="179"/>
      <c r="AD268" s="179"/>
      <c r="AE268" s="179"/>
      <c r="AF268" s="179"/>
      <c r="AG268" s="179"/>
      <c r="AH268" s="179"/>
      <c r="AI268" s="179"/>
      <c r="AJ268" s="179"/>
      <c r="AK268" s="179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</row>
    <row r="269" ht="15.75" customHeight="1">
      <c r="A269" s="178"/>
      <c r="B269" s="178"/>
      <c r="C269" s="178"/>
      <c r="D269" s="6"/>
      <c r="E269" s="6"/>
      <c r="F269" s="6"/>
      <c r="G269" s="6"/>
      <c r="H269" s="180"/>
      <c r="I269" s="179"/>
      <c r="J269" s="179"/>
      <c r="K269" s="179"/>
      <c r="L269" s="179"/>
      <c r="M269" s="179"/>
      <c r="N269" s="181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</row>
    <row r="270" ht="15.75" customHeight="1">
      <c r="A270" s="178"/>
      <c r="B270" s="178"/>
      <c r="C270" s="178"/>
      <c r="D270" s="6"/>
      <c r="E270" s="6"/>
      <c r="F270" s="6"/>
      <c r="G270" s="6"/>
      <c r="H270" s="180"/>
      <c r="I270" s="179"/>
      <c r="J270" s="179"/>
      <c r="K270" s="179"/>
      <c r="L270" s="179"/>
      <c r="M270" s="179"/>
      <c r="N270" s="181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79"/>
      <c r="AE270" s="179"/>
      <c r="AF270" s="179"/>
      <c r="AG270" s="179"/>
      <c r="AH270" s="179"/>
      <c r="AI270" s="179"/>
      <c r="AJ270" s="179"/>
      <c r="AK270" s="179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</row>
    <row r="271" ht="15.75" customHeight="1">
      <c r="A271" s="178"/>
      <c r="B271" s="178"/>
      <c r="C271" s="178"/>
      <c r="D271" s="6"/>
      <c r="E271" s="6"/>
      <c r="F271" s="6"/>
      <c r="G271" s="6"/>
      <c r="H271" s="180"/>
      <c r="I271" s="179"/>
      <c r="J271" s="179"/>
      <c r="K271" s="179"/>
      <c r="L271" s="179"/>
      <c r="M271" s="179"/>
      <c r="N271" s="181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9"/>
      <c r="AK271" s="179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</row>
    <row r="272" ht="15.75" customHeight="1">
      <c r="A272" s="178"/>
      <c r="B272" s="178"/>
      <c r="C272" s="178"/>
      <c r="D272" s="6"/>
      <c r="E272" s="6"/>
      <c r="F272" s="6"/>
      <c r="G272" s="6"/>
      <c r="H272" s="180"/>
      <c r="I272" s="179"/>
      <c r="J272" s="179"/>
      <c r="K272" s="179"/>
      <c r="L272" s="179"/>
      <c r="M272" s="179"/>
      <c r="N272" s="181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</row>
    <row r="273" ht="15.75" customHeight="1">
      <c r="A273" s="178"/>
      <c r="B273" s="178"/>
      <c r="C273" s="178"/>
      <c r="D273" s="6"/>
      <c r="E273" s="6"/>
      <c r="F273" s="6"/>
      <c r="G273" s="6"/>
      <c r="H273" s="180"/>
      <c r="I273" s="179"/>
      <c r="J273" s="179"/>
      <c r="K273" s="179"/>
      <c r="L273" s="179"/>
      <c r="M273" s="179"/>
      <c r="N273" s="181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</row>
    <row r="274" ht="15.75" customHeight="1">
      <c r="A274" s="178"/>
      <c r="B274" s="178"/>
      <c r="C274" s="178"/>
      <c r="D274" s="6"/>
      <c r="E274" s="6"/>
      <c r="F274" s="6"/>
      <c r="G274" s="6"/>
      <c r="H274" s="180"/>
      <c r="I274" s="179"/>
      <c r="J274" s="179"/>
      <c r="K274" s="179"/>
      <c r="L274" s="179"/>
      <c r="M274" s="179"/>
      <c r="N274" s="181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</row>
    <row r="275" ht="15.75" customHeight="1">
      <c r="A275" s="178"/>
      <c r="B275" s="178"/>
      <c r="C275" s="178"/>
      <c r="D275" s="6"/>
      <c r="E275" s="6"/>
      <c r="F275" s="6"/>
      <c r="G275" s="6"/>
      <c r="H275" s="180"/>
      <c r="I275" s="179"/>
      <c r="J275" s="179"/>
      <c r="K275" s="179"/>
      <c r="L275" s="179"/>
      <c r="M275" s="179"/>
      <c r="N275" s="181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</row>
    <row r="276" ht="15.75" customHeight="1">
      <c r="A276" s="178"/>
      <c r="B276" s="178"/>
      <c r="C276" s="178"/>
      <c r="D276" s="6"/>
      <c r="E276" s="6"/>
      <c r="F276" s="6"/>
      <c r="G276" s="6"/>
      <c r="H276" s="180"/>
      <c r="I276" s="179"/>
      <c r="J276" s="179"/>
      <c r="K276" s="179"/>
      <c r="L276" s="179"/>
      <c r="M276" s="179"/>
      <c r="N276" s="181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</row>
    <row r="277" ht="15.75" customHeight="1">
      <c r="A277" s="178"/>
      <c r="B277" s="178"/>
      <c r="C277" s="178"/>
      <c r="D277" s="6"/>
      <c r="E277" s="6"/>
      <c r="F277" s="6"/>
      <c r="G277" s="6"/>
      <c r="H277" s="180"/>
      <c r="I277" s="179"/>
      <c r="J277" s="179"/>
      <c r="K277" s="179"/>
      <c r="L277" s="179"/>
      <c r="M277" s="179"/>
      <c r="N277" s="181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9"/>
      <c r="AK277" s="179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</row>
    <row r="278" ht="15.75" customHeight="1">
      <c r="A278" s="178"/>
      <c r="B278" s="178"/>
      <c r="C278" s="178"/>
      <c r="D278" s="6"/>
      <c r="E278" s="6"/>
      <c r="F278" s="6"/>
      <c r="G278" s="6"/>
      <c r="H278" s="180"/>
      <c r="I278" s="179"/>
      <c r="J278" s="179"/>
      <c r="K278" s="179"/>
      <c r="L278" s="179"/>
      <c r="M278" s="179"/>
      <c r="N278" s="181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</row>
    <row r="279" ht="15.75" customHeight="1">
      <c r="A279" s="178"/>
      <c r="B279" s="178"/>
      <c r="C279" s="178"/>
      <c r="D279" s="6"/>
      <c r="E279" s="6"/>
      <c r="F279" s="6"/>
      <c r="G279" s="6"/>
      <c r="H279" s="180"/>
      <c r="I279" s="179"/>
      <c r="J279" s="179"/>
      <c r="K279" s="179"/>
      <c r="L279" s="179"/>
      <c r="M279" s="179"/>
      <c r="N279" s="181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</row>
    <row r="280" ht="15.75" customHeight="1">
      <c r="A280" s="178"/>
      <c r="B280" s="178"/>
      <c r="C280" s="178"/>
      <c r="D280" s="6"/>
      <c r="E280" s="6"/>
      <c r="F280" s="6"/>
      <c r="G280" s="6"/>
      <c r="H280" s="180"/>
      <c r="I280" s="179"/>
      <c r="J280" s="179"/>
      <c r="K280" s="179"/>
      <c r="L280" s="179"/>
      <c r="M280" s="179"/>
      <c r="N280" s="181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</row>
    <row r="281" ht="15.75" customHeight="1">
      <c r="A281" s="178"/>
      <c r="B281" s="178"/>
      <c r="C281" s="178"/>
      <c r="D281" s="6"/>
      <c r="E281" s="6"/>
      <c r="F281" s="6"/>
      <c r="G281" s="6"/>
      <c r="H281" s="180"/>
      <c r="I281" s="179"/>
      <c r="J281" s="179"/>
      <c r="K281" s="179"/>
      <c r="L281" s="179"/>
      <c r="M281" s="179"/>
      <c r="N281" s="181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</row>
    <row r="282" ht="15.75" customHeight="1">
      <c r="A282" s="178"/>
      <c r="B282" s="178"/>
      <c r="C282" s="178"/>
      <c r="D282" s="6"/>
      <c r="E282" s="6"/>
      <c r="F282" s="6"/>
      <c r="G282" s="6"/>
      <c r="H282" s="180"/>
      <c r="I282" s="179"/>
      <c r="J282" s="179"/>
      <c r="K282" s="179"/>
      <c r="L282" s="179"/>
      <c r="M282" s="179"/>
      <c r="N282" s="181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</row>
    <row r="283" ht="15.75" customHeight="1">
      <c r="A283" s="178"/>
      <c r="B283" s="178"/>
      <c r="C283" s="178"/>
      <c r="D283" s="6"/>
      <c r="E283" s="6"/>
      <c r="F283" s="6"/>
      <c r="G283" s="6"/>
      <c r="H283" s="180"/>
      <c r="I283" s="179"/>
      <c r="J283" s="179"/>
      <c r="K283" s="179"/>
      <c r="L283" s="179"/>
      <c r="M283" s="179"/>
      <c r="N283" s="181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</row>
    <row r="284" ht="15.75" customHeight="1">
      <c r="A284" s="178"/>
      <c r="B284" s="178"/>
      <c r="C284" s="178"/>
      <c r="D284" s="6"/>
      <c r="E284" s="6"/>
      <c r="F284" s="6"/>
      <c r="G284" s="6"/>
      <c r="H284" s="180"/>
      <c r="I284" s="179"/>
      <c r="J284" s="179"/>
      <c r="K284" s="179"/>
      <c r="L284" s="179"/>
      <c r="M284" s="179"/>
      <c r="N284" s="181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</row>
    <row r="285" ht="15.75" customHeight="1">
      <c r="A285" s="178"/>
      <c r="B285" s="178"/>
      <c r="C285" s="178"/>
      <c r="D285" s="6"/>
      <c r="E285" s="6"/>
      <c r="F285" s="6"/>
      <c r="G285" s="6"/>
      <c r="H285" s="180"/>
      <c r="I285" s="179"/>
      <c r="J285" s="179"/>
      <c r="K285" s="179"/>
      <c r="L285" s="179"/>
      <c r="M285" s="179"/>
      <c r="N285" s="181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</row>
    <row r="286" ht="15.75" customHeight="1">
      <c r="A286" s="178"/>
      <c r="B286" s="178"/>
      <c r="C286" s="178"/>
      <c r="D286" s="6"/>
      <c r="E286" s="6"/>
      <c r="F286" s="6"/>
      <c r="G286" s="6"/>
      <c r="H286" s="180"/>
      <c r="I286" s="179"/>
      <c r="J286" s="179"/>
      <c r="K286" s="179"/>
      <c r="L286" s="179"/>
      <c r="M286" s="179"/>
      <c r="N286" s="181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79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</row>
    <row r="287" ht="15.75" customHeight="1">
      <c r="A287" s="178"/>
      <c r="B287" s="178"/>
      <c r="C287" s="178"/>
      <c r="D287" s="6"/>
      <c r="E287" s="6"/>
      <c r="F287" s="6"/>
      <c r="G287" s="6"/>
      <c r="H287" s="180"/>
      <c r="I287" s="179"/>
      <c r="J287" s="179"/>
      <c r="K287" s="179"/>
      <c r="L287" s="179"/>
      <c r="M287" s="179"/>
      <c r="N287" s="181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</row>
    <row r="288" ht="15.75" customHeight="1">
      <c r="A288" s="178"/>
      <c r="B288" s="178"/>
      <c r="C288" s="178"/>
      <c r="D288" s="6"/>
      <c r="E288" s="6"/>
      <c r="F288" s="6"/>
      <c r="G288" s="6"/>
      <c r="H288" s="180"/>
      <c r="I288" s="179"/>
      <c r="J288" s="179"/>
      <c r="K288" s="179"/>
      <c r="L288" s="179"/>
      <c r="M288" s="179"/>
      <c r="N288" s="181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</row>
    <row r="289" ht="15.75" customHeight="1">
      <c r="A289" s="178"/>
      <c r="B289" s="178"/>
      <c r="C289" s="178"/>
      <c r="D289" s="6"/>
      <c r="E289" s="6"/>
      <c r="F289" s="6"/>
      <c r="G289" s="6"/>
      <c r="H289" s="180"/>
      <c r="I289" s="179"/>
      <c r="J289" s="179"/>
      <c r="K289" s="179"/>
      <c r="L289" s="179"/>
      <c r="M289" s="179"/>
      <c r="N289" s="181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</row>
    <row r="290" ht="15.75" customHeight="1">
      <c r="A290" s="178"/>
      <c r="B290" s="178"/>
      <c r="C290" s="178"/>
      <c r="D290" s="6"/>
      <c r="E290" s="6"/>
      <c r="F290" s="6"/>
      <c r="G290" s="6"/>
      <c r="H290" s="180"/>
      <c r="I290" s="179"/>
      <c r="J290" s="179"/>
      <c r="K290" s="179"/>
      <c r="L290" s="179"/>
      <c r="M290" s="179"/>
      <c r="N290" s="181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</row>
    <row r="291" ht="15.75" customHeight="1">
      <c r="A291" s="178"/>
      <c r="B291" s="178"/>
      <c r="C291" s="178"/>
      <c r="D291" s="6"/>
      <c r="E291" s="6"/>
      <c r="F291" s="6"/>
      <c r="G291" s="6"/>
      <c r="H291" s="180"/>
      <c r="I291" s="179"/>
      <c r="J291" s="179"/>
      <c r="K291" s="179"/>
      <c r="L291" s="179"/>
      <c r="M291" s="179"/>
      <c r="N291" s="181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</row>
    <row r="292" ht="15.75" customHeight="1">
      <c r="A292" s="178"/>
      <c r="B292" s="178"/>
      <c r="C292" s="178"/>
      <c r="D292" s="6"/>
      <c r="E292" s="6"/>
      <c r="F292" s="6"/>
      <c r="G292" s="6"/>
      <c r="H292" s="180"/>
      <c r="I292" s="179"/>
      <c r="J292" s="179"/>
      <c r="K292" s="179"/>
      <c r="L292" s="179"/>
      <c r="M292" s="179"/>
      <c r="N292" s="181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79"/>
      <c r="AC292" s="179"/>
      <c r="AD292" s="179"/>
      <c r="AE292" s="179"/>
      <c r="AF292" s="179"/>
      <c r="AG292" s="179"/>
      <c r="AH292" s="179"/>
      <c r="AI292" s="179"/>
      <c r="AJ292" s="179"/>
      <c r="AK292" s="179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</row>
    <row r="293" ht="15.75" customHeight="1">
      <c r="A293" s="178"/>
      <c r="B293" s="178"/>
      <c r="C293" s="178"/>
      <c r="D293" s="6"/>
      <c r="E293" s="6"/>
      <c r="F293" s="6"/>
      <c r="G293" s="6"/>
      <c r="H293" s="180"/>
      <c r="I293" s="179"/>
      <c r="J293" s="179"/>
      <c r="K293" s="179"/>
      <c r="L293" s="179"/>
      <c r="M293" s="179"/>
      <c r="N293" s="181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79"/>
      <c r="AC293" s="179"/>
      <c r="AD293" s="179"/>
      <c r="AE293" s="179"/>
      <c r="AF293" s="179"/>
      <c r="AG293" s="179"/>
      <c r="AH293" s="179"/>
      <c r="AI293" s="179"/>
      <c r="AJ293" s="179"/>
      <c r="AK293" s="179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</row>
    <row r="294" ht="15.75" customHeight="1">
      <c r="A294" s="178"/>
      <c r="B294" s="178"/>
      <c r="C294" s="178"/>
      <c r="D294" s="6"/>
      <c r="E294" s="6"/>
      <c r="F294" s="6"/>
      <c r="G294" s="6"/>
      <c r="H294" s="180"/>
      <c r="I294" s="179"/>
      <c r="J294" s="179"/>
      <c r="K294" s="179"/>
      <c r="L294" s="179"/>
      <c r="M294" s="179"/>
      <c r="N294" s="181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</row>
    <row r="295" ht="15.75" customHeight="1">
      <c r="A295" s="178"/>
      <c r="B295" s="178"/>
      <c r="C295" s="178"/>
      <c r="D295" s="6"/>
      <c r="E295" s="6"/>
      <c r="F295" s="6"/>
      <c r="G295" s="6"/>
      <c r="H295" s="180"/>
      <c r="I295" s="179"/>
      <c r="J295" s="179"/>
      <c r="K295" s="179"/>
      <c r="L295" s="179"/>
      <c r="M295" s="179"/>
      <c r="N295" s="181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</row>
    <row r="296" ht="15.75" customHeight="1">
      <c r="A296" s="178"/>
      <c r="B296" s="178"/>
      <c r="C296" s="178"/>
      <c r="D296" s="6"/>
      <c r="E296" s="6"/>
      <c r="F296" s="6"/>
      <c r="G296" s="6"/>
      <c r="H296" s="180"/>
      <c r="I296" s="179"/>
      <c r="J296" s="179"/>
      <c r="K296" s="179"/>
      <c r="L296" s="179"/>
      <c r="M296" s="179"/>
      <c r="N296" s="181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</row>
    <row r="297" ht="15.75" customHeight="1">
      <c r="A297" s="178"/>
      <c r="B297" s="178"/>
      <c r="C297" s="178"/>
      <c r="D297" s="6"/>
      <c r="E297" s="6"/>
      <c r="F297" s="6"/>
      <c r="G297" s="6"/>
      <c r="H297" s="180"/>
      <c r="I297" s="179"/>
      <c r="J297" s="179"/>
      <c r="K297" s="179"/>
      <c r="L297" s="179"/>
      <c r="M297" s="179"/>
      <c r="N297" s="181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</row>
    <row r="298" ht="15.75" customHeight="1">
      <c r="A298" s="178"/>
      <c r="B298" s="178"/>
      <c r="C298" s="178"/>
      <c r="D298" s="6"/>
      <c r="E298" s="6"/>
      <c r="F298" s="6"/>
      <c r="G298" s="6"/>
      <c r="H298" s="180"/>
      <c r="I298" s="179"/>
      <c r="J298" s="179"/>
      <c r="K298" s="179"/>
      <c r="L298" s="179"/>
      <c r="M298" s="179"/>
      <c r="N298" s="181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</row>
    <row r="299" ht="15.75" customHeight="1">
      <c r="A299" s="178"/>
      <c r="B299" s="178"/>
      <c r="C299" s="178"/>
      <c r="D299" s="6"/>
      <c r="E299" s="6"/>
      <c r="F299" s="6"/>
      <c r="G299" s="6"/>
      <c r="H299" s="180"/>
      <c r="I299" s="179"/>
      <c r="J299" s="179"/>
      <c r="K299" s="179"/>
      <c r="L299" s="179"/>
      <c r="M299" s="179"/>
      <c r="N299" s="181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</row>
    <row r="300" ht="15.75" customHeight="1">
      <c r="A300" s="178"/>
      <c r="B300" s="178"/>
      <c r="C300" s="178"/>
      <c r="D300" s="6"/>
      <c r="E300" s="6"/>
      <c r="F300" s="6"/>
      <c r="G300" s="6"/>
      <c r="H300" s="180"/>
      <c r="I300" s="179"/>
      <c r="J300" s="179"/>
      <c r="K300" s="179"/>
      <c r="L300" s="179"/>
      <c r="M300" s="179"/>
      <c r="N300" s="181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</row>
    <row r="301" ht="15.75" customHeight="1">
      <c r="A301" s="178"/>
      <c r="B301" s="178"/>
      <c r="C301" s="178"/>
      <c r="D301" s="6"/>
      <c r="E301" s="6"/>
      <c r="F301" s="6"/>
      <c r="G301" s="6"/>
      <c r="H301" s="180"/>
      <c r="I301" s="179"/>
      <c r="J301" s="179"/>
      <c r="K301" s="179"/>
      <c r="L301" s="179"/>
      <c r="M301" s="179"/>
      <c r="N301" s="181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</row>
    <row r="302" ht="15.75" customHeight="1">
      <c r="A302" s="178"/>
      <c r="B302" s="178"/>
      <c r="C302" s="178"/>
      <c r="D302" s="6"/>
      <c r="E302" s="6"/>
      <c r="F302" s="6"/>
      <c r="G302" s="6"/>
      <c r="H302" s="180"/>
      <c r="I302" s="179"/>
      <c r="J302" s="179"/>
      <c r="K302" s="179"/>
      <c r="L302" s="179"/>
      <c r="M302" s="179"/>
      <c r="N302" s="181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</row>
    <row r="303" ht="15.75" customHeight="1">
      <c r="A303" s="178"/>
      <c r="B303" s="178"/>
      <c r="C303" s="178"/>
      <c r="D303" s="6"/>
      <c r="E303" s="6"/>
      <c r="F303" s="6"/>
      <c r="G303" s="6"/>
      <c r="H303" s="180"/>
      <c r="I303" s="179"/>
      <c r="J303" s="179"/>
      <c r="K303" s="179"/>
      <c r="L303" s="179"/>
      <c r="M303" s="179"/>
      <c r="N303" s="181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  <c r="AG303" s="179"/>
      <c r="AH303" s="179"/>
      <c r="AI303" s="179"/>
      <c r="AJ303" s="179"/>
      <c r="AK303" s="179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</row>
    <row r="304" ht="15.75" customHeight="1">
      <c r="A304" s="178"/>
      <c r="B304" s="178"/>
      <c r="C304" s="178"/>
      <c r="D304" s="6"/>
      <c r="E304" s="6"/>
      <c r="F304" s="6"/>
      <c r="G304" s="6"/>
      <c r="H304" s="180"/>
      <c r="I304" s="179"/>
      <c r="J304" s="179"/>
      <c r="K304" s="179"/>
      <c r="L304" s="179"/>
      <c r="M304" s="179"/>
      <c r="N304" s="181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79"/>
      <c r="AE304" s="179"/>
      <c r="AF304" s="179"/>
      <c r="AG304" s="179"/>
      <c r="AH304" s="179"/>
      <c r="AI304" s="179"/>
      <c r="AJ304" s="179"/>
      <c r="AK304" s="179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</row>
    <row r="305" ht="15.75" customHeight="1">
      <c r="A305" s="178"/>
      <c r="B305" s="178"/>
      <c r="C305" s="178"/>
      <c r="D305" s="6"/>
      <c r="E305" s="6"/>
      <c r="F305" s="6"/>
      <c r="G305" s="6"/>
      <c r="H305" s="180"/>
      <c r="I305" s="179"/>
      <c r="J305" s="179"/>
      <c r="K305" s="179"/>
      <c r="L305" s="179"/>
      <c r="M305" s="179"/>
      <c r="N305" s="181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79"/>
      <c r="AE305" s="179"/>
      <c r="AF305" s="179"/>
      <c r="AG305" s="179"/>
      <c r="AH305" s="179"/>
      <c r="AI305" s="179"/>
      <c r="AJ305" s="179"/>
      <c r="AK305" s="179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</row>
    <row r="306" ht="15.75" customHeight="1">
      <c r="A306" s="178"/>
      <c r="B306" s="178"/>
      <c r="C306" s="178"/>
      <c r="D306" s="6"/>
      <c r="E306" s="6"/>
      <c r="F306" s="6"/>
      <c r="G306" s="6"/>
      <c r="H306" s="180"/>
      <c r="I306" s="179"/>
      <c r="J306" s="179"/>
      <c r="K306" s="179"/>
      <c r="L306" s="179"/>
      <c r="M306" s="179"/>
      <c r="N306" s="181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79"/>
      <c r="AC306" s="179"/>
      <c r="AD306" s="179"/>
      <c r="AE306" s="179"/>
      <c r="AF306" s="179"/>
      <c r="AG306" s="179"/>
      <c r="AH306" s="179"/>
      <c r="AI306" s="179"/>
      <c r="AJ306" s="179"/>
      <c r="AK306" s="179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</row>
    <row r="307" ht="15.75" customHeight="1">
      <c r="A307" s="178"/>
      <c r="B307" s="178"/>
      <c r="C307" s="178"/>
      <c r="D307" s="6"/>
      <c r="E307" s="6"/>
      <c r="F307" s="6"/>
      <c r="G307" s="6"/>
      <c r="H307" s="180"/>
      <c r="I307" s="179"/>
      <c r="J307" s="179"/>
      <c r="K307" s="179"/>
      <c r="L307" s="179"/>
      <c r="M307" s="179"/>
      <c r="N307" s="181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79"/>
      <c r="AE307" s="179"/>
      <c r="AF307" s="179"/>
      <c r="AG307" s="179"/>
      <c r="AH307" s="179"/>
      <c r="AI307" s="179"/>
      <c r="AJ307" s="179"/>
      <c r="AK307" s="179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</row>
    <row r="308" ht="15.75" customHeight="1">
      <c r="A308" s="178"/>
      <c r="B308" s="178"/>
      <c r="C308" s="178"/>
      <c r="D308" s="6"/>
      <c r="E308" s="6"/>
      <c r="F308" s="6"/>
      <c r="G308" s="6"/>
      <c r="H308" s="180"/>
      <c r="I308" s="179"/>
      <c r="J308" s="179"/>
      <c r="K308" s="179"/>
      <c r="L308" s="179"/>
      <c r="M308" s="179"/>
      <c r="N308" s="181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  <c r="AC308" s="179"/>
      <c r="AD308" s="179"/>
      <c r="AE308" s="179"/>
      <c r="AF308" s="179"/>
      <c r="AG308" s="179"/>
      <c r="AH308" s="179"/>
      <c r="AI308" s="179"/>
      <c r="AJ308" s="179"/>
      <c r="AK308" s="179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</row>
    <row r="309" ht="15.75" customHeight="1">
      <c r="A309" s="178"/>
      <c r="B309" s="178"/>
      <c r="C309" s="178"/>
      <c r="D309" s="6"/>
      <c r="E309" s="6"/>
      <c r="F309" s="6"/>
      <c r="G309" s="6"/>
      <c r="H309" s="180"/>
      <c r="I309" s="179"/>
      <c r="J309" s="179"/>
      <c r="K309" s="179"/>
      <c r="L309" s="179"/>
      <c r="M309" s="179"/>
      <c r="N309" s="181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</row>
    <row r="310" ht="15.75" customHeight="1">
      <c r="A310" s="178"/>
      <c r="B310" s="178"/>
      <c r="C310" s="178"/>
      <c r="D310" s="6"/>
      <c r="E310" s="6"/>
      <c r="F310" s="6"/>
      <c r="G310" s="6"/>
      <c r="H310" s="180"/>
      <c r="I310" s="179"/>
      <c r="J310" s="179"/>
      <c r="K310" s="179"/>
      <c r="L310" s="179"/>
      <c r="M310" s="179"/>
      <c r="N310" s="181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79"/>
      <c r="AC310" s="179"/>
      <c r="AD310" s="179"/>
      <c r="AE310" s="179"/>
      <c r="AF310" s="179"/>
      <c r="AG310" s="179"/>
      <c r="AH310" s="179"/>
      <c r="AI310" s="179"/>
      <c r="AJ310" s="179"/>
      <c r="AK310" s="179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</row>
    <row r="311" ht="15.75" customHeight="1">
      <c r="A311" s="178"/>
      <c r="B311" s="178"/>
      <c r="C311" s="178"/>
      <c r="D311" s="6"/>
      <c r="E311" s="6"/>
      <c r="F311" s="6"/>
      <c r="G311" s="6"/>
      <c r="H311" s="180"/>
      <c r="I311" s="179"/>
      <c r="J311" s="179"/>
      <c r="K311" s="179"/>
      <c r="L311" s="179"/>
      <c r="M311" s="179"/>
      <c r="N311" s="181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79"/>
      <c r="AC311" s="179"/>
      <c r="AD311" s="179"/>
      <c r="AE311" s="179"/>
      <c r="AF311" s="179"/>
      <c r="AG311" s="179"/>
      <c r="AH311" s="179"/>
      <c r="AI311" s="179"/>
      <c r="AJ311" s="179"/>
      <c r="AK311" s="179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</row>
    <row r="312" ht="15.75" customHeight="1">
      <c r="A312" s="178"/>
      <c r="B312" s="178"/>
      <c r="C312" s="178"/>
      <c r="D312" s="6"/>
      <c r="E312" s="6"/>
      <c r="F312" s="6"/>
      <c r="G312" s="6"/>
      <c r="H312" s="180"/>
      <c r="I312" s="179"/>
      <c r="J312" s="179"/>
      <c r="K312" s="179"/>
      <c r="L312" s="179"/>
      <c r="M312" s="179"/>
      <c r="N312" s="181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</row>
    <row r="313" ht="15.75" customHeight="1">
      <c r="A313" s="178"/>
      <c r="B313" s="178"/>
      <c r="C313" s="178"/>
      <c r="D313" s="6"/>
      <c r="E313" s="6"/>
      <c r="F313" s="6"/>
      <c r="G313" s="6"/>
      <c r="H313" s="180"/>
      <c r="I313" s="179"/>
      <c r="J313" s="179"/>
      <c r="K313" s="179"/>
      <c r="L313" s="179"/>
      <c r="M313" s="179"/>
      <c r="N313" s="181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</row>
    <row r="314" ht="15.75" customHeight="1">
      <c r="A314" s="178"/>
      <c r="B314" s="178"/>
      <c r="C314" s="178"/>
      <c r="D314" s="6"/>
      <c r="E314" s="6"/>
      <c r="F314" s="6"/>
      <c r="G314" s="6"/>
      <c r="H314" s="180"/>
      <c r="I314" s="179"/>
      <c r="J314" s="179"/>
      <c r="K314" s="179"/>
      <c r="L314" s="179"/>
      <c r="M314" s="179"/>
      <c r="N314" s="181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</row>
    <row r="315" ht="15.75" customHeight="1">
      <c r="A315" s="178"/>
      <c r="B315" s="178"/>
      <c r="C315" s="178"/>
      <c r="D315" s="6"/>
      <c r="E315" s="6"/>
      <c r="F315" s="6"/>
      <c r="G315" s="6"/>
      <c r="H315" s="180"/>
      <c r="I315" s="179"/>
      <c r="J315" s="179"/>
      <c r="K315" s="179"/>
      <c r="L315" s="179"/>
      <c r="M315" s="179"/>
      <c r="N315" s="181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</row>
    <row r="316" ht="15.75" customHeight="1">
      <c r="A316" s="178"/>
      <c r="B316" s="178"/>
      <c r="C316" s="178"/>
      <c r="D316" s="6"/>
      <c r="E316" s="6"/>
      <c r="F316" s="6"/>
      <c r="G316" s="6"/>
      <c r="H316" s="180"/>
      <c r="I316" s="179"/>
      <c r="J316" s="179"/>
      <c r="K316" s="179"/>
      <c r="L316" s="179"/>
      <c r="M316" s="179"/>
      <c r="N316" s="181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</row>
    <row r="317" ht="15.75" customHeight="1">
      <c r="A317" s="178"/>
      <c r="B317" s="178"/>
      <c r="C317" s="178"/>
      <c r="D317" s="6"/>
      <c r="E317" s="6"/>
      <c r="F317" s="6"/>
      <c r="G317" s="6"/>
      <c r="H317" s="180"/>
      <c r="I317" s="179"/>
      <c r="J317" s="179"/>
      <c r="K317" s="179"/>
      <c r="L317" s="179"/>
      <c r="M317" s="179"/>
      <c r="N317" s="181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</row>
    <row r="318" ht="15.75" customHeight="1">
      <c r="A318" s="178"/>
      <c r="B318" s="178"/>
      <c r="C318" s="178"/>
      <c r="D318" s="6"/>
      <c r="E318" s="6"/>
      <c r="F318" s="6"/>
      <c r="G318" s="6"/>
      <c r="H318" s="180"/>
      <c r="I318" s="179"/>
      <c r="J318" s="179"/>
      <c r="K318" s="179"/>
      <c r="L318" s="179"/>
      <c r="M318" s="179"/>
      <c r="N318" s="181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</row>
    <row r="319" ht="15.75" customHeight="1">
      <c r="A319" s="178"/>
      <c r="B319" s="178"/>
      <c r="C319" s="178"/>
      <c r="D319" s="6"/>
      <c r="E319" s="6"/>
      <c r="F319" s="6"/>
      <c r="G319" s="6"/>
      <c r="H319" s="180"/>
      <c r="I319" s="179"/>
      <c r="J319" s="179"/>
      <c r="K319" s="179"/>
      <c r="L319" s="179"/>
      <c r="M319" s="179"/>
      <c r="N319" s="181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</row>
    <row r="320" ht="15.75" customHeight="1">
      <c r="A320" s="178"/>
      <c r="B320" s="178"/>
      <c r="C320" s="178"/>
      <c r="D320" s="6"/>
      <c r="E320" s="6"/>
      <c r="F320" s="6"/>
      <c r="G320" s="6"/>
      <c r="H320" s="180"/>
      <c r="I320" s="179"/>
      <c r="J320" s="179"/>
      <c r="K320" s="179"/>
      <c r="L320" s="179"/>
      <c r="M320" s="179"/>
      <c r="N320" s="181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</row>
    <row r="321" ht="15.75" customHeight="1">
      <c r="A321" s="178"/>
      <c r="B321" s="178"/>
      <c r="C321" s="178"/>
      <c r="D321" s="6"/>
      <c r="E321" s="6"/>
      <c r="F321" s="6"/>
      <c r="G321" s="6"/>
      <c r="H321" s="180"/>
      <c r="I321" s="179"/>
      <c r="J321" s="179"/>
      <c r="K321" s="179"/>
      <c r="L321" s="179"/>
      <c r="M321" s="179"/>
      <c r="N321" s="181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79"/>
      <c r="AE321" s="179"/>
      <c r="AF321" s="179"/>
      <c r="AG321" s="179"/>
      <c r="AH321" s="179"/>
      <c r="AI321" s="179"/>
      <c r="AJ321" s="179"/>
      <c r="AK321" s="179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</row>
    <row r="322" ht="15.75" customHeight="1">
      <c r="A322" s="178"/>
      <c r="B322" s="178"/>
      <c r="C322" s="178"/>
      <c r="D322" s="6"/>
      <c r="E322" s="6"/>
      <c r="F322" s="6"/>
      <c r="G322" s="6"/>
      <c r="H322" s="180"/>
      <c r="I322" s="179"/>
      <c r="J322" s="179"/>
      <c r="K322" s="179"/>
      <c r="L322" s="179"/>
      <c r="M322" s="179"/>
      <c r="N322" s="181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79"/>
      <c r="AD322" s="179"/>
      <c r="AE322" s="179"/>
      <c r="AF322" s="179"/>
      <c r="AG322" s="179"/>
      <c r="AH322" s="179"/>
      <c r="AI322" s="179"/>
      <c r="AJ322" s="179"/>
      <c r="AK322" s="179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</row>
    <row r="323" ht="15.75" customHeight="1">
      <c r="A323" s="178"/>
      <c r="B323" s="178"/>
      <c r="C323" s="178"/>
      <c r="D323" s="6"/>
      <c r="E323" s="6"/>
      <c r="F323" s="6"/>
      <c r="G323" s="6"/>
      <c r="H323" s="180"/>
      <c r="I323" s="179"/>
      <c r="J323" s="179"/>
      <c r="K323" s="179"/>
      <c r="L323" s="179"/>
      <c r="M323" s="179"/>
      <c r="N323" s="181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79"/>
      <c r="AD323" s="179"/>
      <c r="AE323" s="179"/>
      <c r="AF323" s="179"/>
      <c r="AG323" s="179"/>
      <c r="AH323" s="179"/>
      <c r="AI323" s="179"/>
      <c r="AJ323" s="179"/>
      <c r="AK323" s="179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</row>
    <row r="324" ht="15.75" customHeight="1">
      <c r="A324" s="178"/>
      <c r="B324" s="178"/>
      <c r="C324" s="178"/>
      <c r="D324" s="6"/>
      <c r="E324" s="6"/>
      <c r="F324" s="6"/>
      <c r="G324" s="6"/>
      <c r="H324" s="180"/>
      <c r="I324" s="179"/>
      <c r="J324" s="179"/>
      <c r="K324" s="179"/>
      <c r="L324" s="179"/>
      <c r="M324" s="179"/>
      <c r="N324" s="181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79"/>
      <c r="AD324" s="179"/>
      <c r="AE324" s="179"/>
      <c r="AF324" s="179"/>
      <c r="AG324" s="179"/>
      <c r="AH324" s="179"/>
      <c r="AI324" s="179"/>
      <c r="AJ324" s="179"/>
      <c r="AK324" s="179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</row>
    <row r="325" ht="15.75" customHeight="1">
      <c r="A325" s="178"/>
      <c r="B325" s="178"/>
      <c r="C325" s="178"/>
      <c r="D325" s="6"/>
      <c r="E325" s="6"/>
      <c r="F325" s="6"/>
      <c r="G325" s="6"/>
      <c r="H325" s="180"/>
      <c r="I325" s="179"/>
      <c r="J325" s="179"/>
      <c r="K325" s="179"/>
      <c r="L325" s="179"/>
      <c r="M325" s="179"/>
      <c r="N325" s="181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79"/>
      <c r="AC325" s="179"/>
      <c r="AD325" s="179"/>
      <c r="AE325" s="179"/>
      <c r="AF325" s="179"/>
      <c r="AG325" s="179"/>
      <c r="AH325" s="179"/>
      <c r="AI325" s="179"/>
      <c r="AJ325" s="179"/>
      <c r="AK325" s="179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</row>
    <row r="326" ht="15.75" customHeight="1">
      <c r="A326" s="178"/>
      <c r="B326" s="178"/>
      <c r="C326" s="178"/>
      <c r="D326" s="6"/>
      <c r="E326" s="6"/>
      <c r="F326" s="6"/>
      <c r="G326" s="6"/>
      <c r="H326" s="180"/>
      <c r="I326" s="179"/>
      <c r="J326" s="179"/>
      <c r="K326" s="179"/>
      <c r="L326" s="179"/>
      <c r="M326" s="179"/>
      <c r="N326" s="181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79"/>
      <c r="AE326" s="179"/>
      <c r="AF326" s="179"/>
      <c r="AG326" s="179"/>
      <c r="AH326" s="179"/>
      <c r="AI326" s="179"/>
      <c r="AJ326" s="179"/>
      <c r="AK326" s="179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</row>
    <row r="327" ht="15.75" customHeight="1">
      <c r="A327" s="178"/>
      <c r="B327" s="178"/>
      <c r="C327" s="178"/>
      <c r="D327" s="6"/>
      <c r="E327" s="6"/>
      <c r="F327" s="6"/>
      <c r="G327" s="6"/>
      <c r="H327" s="180"/>
      <c r="I327" s="179"/>
      <c r="J327" s="179"/>
      <c r="K327" s="179"/>
      <c r="L327" s="179"/>
      <c r="M327" s="179"/>
      <c r="N327" s="181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  <c r="AK327" s="179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</row>
    <row r="328" ht="15.75" customHeight="1">
      <c r="A328" s="178"/>
      <c r="B328" s="178"/>
      <c r="C328" s="178"/>
      <c r="D328" s="6"/>
      <c r="E328" s="6"/>
      <c r="F328" s="6"/>
      <c r="G328" s="6"/>
      <c r="H328" s="180"/>
      <c r="I328" s="179"/>
      <c r="J328" s="179"/>
      <c r="K328" s="179"/>
      <c r="L328" s="179"/>
      <c r="M328" s="179"/>
      <c r="N328" s="181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79"/>
      <c r="AE328" s="179"/>
      <c r="AF328" s="179"/>
      <c r="AG328" s="179"/>
      <c r="AH328" s="179"/>
      <c r="AI328" s="179"/>
      <c r="AJ328" s="179"/>
      <c r="AK328" s="179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</row>
    <row r="329" ht="15.75" customHeight="1">
      <c r="A329" s="178"/>
      <c r="B329" s="178"/>
      <c r="C329" s="178"/>
      <c r="D329" s="6"/>
      <c r="E329" s="6"/>
      <c r="F329" s="6"/>
      <c r="G329" s="6"/>
      <c r="H329" s="180"/>
      <c r="I329" s="179"/>
      <c r="J329" s="179"/>
      <c r="K329" s="179"/>
      <c r="L329" s="179"/>
      <c r="M329" s="179"/>
      <c r="N329" s="181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79"/>
      <c r="AE329" s="179"/>
      <c r="AF329" s="179"/>
      <c r="AG329" s="179"/>
      <c r="AH329" s="179"/>
      <c r="AI329" s="179"/>
      <c r="AJ329" s="179"/>
      <c r="AK329" s="179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</row>
    <row r="330" ht="15.75" customHeight="1">
      <c r="A330" s="178"/>
      <c r="B330" s="178"/>
      <c r="C330" s="178"/>
      <c r="D330" s="6"/>
      <c r="E330" s="6"/>
      <c r="F330" s="6"/>
      <c r="G330" s="6"/>
      <c r="H330" s="180"/>
      <c r="I330" s="179"/>
      <c r="J330" s="179"/>
      <c r="K330" s="179"/>
      <c r="L330" s="179"/>
      <c r="M330" s="179"/>
      <c r="N330" s="181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</row>
    <row r="331" ht="15.75" customHeight="1">
      <c r="A331" s="178"/>
      <c r="B331" s="178"/>
      <c r="C331" s="178"/>
      <c r="D331" s="6"/>
      <c r="E331" s="6"/>
      <c r="F331" s="6"/>
      <c r="G331" s="6"/>
      <c r="H331" s="180"/>
      <c r="I331" s="179"/>
      <c r="J331" s="179"/>
      <c r="K331" s="179"/>
      <c r="L331" s="179"/>
      <c r="M331" s="179"/>
      <c r="N331" s="181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</row>
    <row r="332" ht="15.75" customHeight="1">
      <c r="A332" s="178"/>
      <c r="B332" s="178"/>
      <c r="C332" s="178"/>
      <c r="D332" s="6"/>
      <c r="E332" s="6"/>
      <c r="F332" s="6"/>
      <c r="G332" s="6"/>
      <c r="H332" s="180"/>
      <c r="I332" s="179"/>
      <c r="J332" s="179"/>
      <c r="K332" s="179"/>
      <c r="L332" s="179"/>
      <c r="M332" s="179"/>
      <c r="N332" s="181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</row>
    <row r="333" ht="15.75" customHeight="1">
      <c r="A333" s="178"/>
      <c r="B333" s="178"/>
      <c r="C333" s="178"/>
      <c r="D333" s="6"/>
      <c r="E333" s="6"/>
      <c r="F333" s="6"/>
      <c r="G333" s="6"/>
      <c r="H333" s="180"/>
      <c r="I333" s="179"/>
      <c r="J333" s="179"/>
      <c r="K333" s="179"/>
      <c r="L333" s="179"/>
      <c r="M333" s="179"/>
      <c r="N333" s="181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</row>
    <row r="334" ht="15.75" customHeight="1">
      <c r="A334" s="178"/>
      <c r="B334" s="178"/>
      <c r="C334" s="178"/>
      <c r="D334" s="6"/>
      <c r="E334" s="6"/>
      <c r="F334" s="6"/>
      <c r="G334" s="6"/>
      <c r="H334" s="180"/>
      <c r="I334" s="179"/>
      <c r="J334" s="179"/>
      <c r="K334" s="179"/>
      <c r="L334" s="179"/>
      <c r="M334" s="179"/>
      <c r="N334" s="181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</row>
    <row r="335" ht="15.75" customHeight="1">
      <c r="A335" s="178"/>
      <c r="B335" s="178"/>
      <c r="C335" s="178"/>
      <c r="D335" s="6"/>
      <c r="E335" s="6"/>
      <c r="F335" s="6"/>
      <c r="G335" s="6"/>
      <c r="H335" s="180"/>
      <c r="I335" s="179"/>
      <c r="J335" s="179"/>
      <c r="K335" s="179"/>
      <c r="L335" s="179"/>
      <c r="M335" s="179"/>
      <c r="N335" s="181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</row>
    <row r="336" ht="15.75" customHeight="1">
      <c r="A336" s="178"/>
      <c r="B336" s="178"/>
      <c r="C336" s="178"/>
      <c r="D336" s="6"/>
      <c r="E336" s="6"/>
      <c r="F336" s="6"/>
      <c r="G336" s="6"/>
      <c r="H336" s="180"/>
      <c r="I336" s="179"/>
      <c r="J336" s="179"/>
      <c r="K336" s="179"/>
      <c r="L336" s="179"/>
      <c r="M336" s="179"/>
      <c r="N336" s="181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</row>
    <row r="337" ht="15.75" customHeight="1">
      <c r="A337" s="178"/>
      <c r="B337" s="178"/>
      <c r="C337" s="178"/>
      <c r="D337" s="6"/>
      <c r="E337" s="6"/>
      <c r="F337" s="6"/>
      <c r="G337" s="6"/>
      <c r="H337" s="180"/>
      <c r="I337" s="179"/>
      <c r="J337" s="179"/>
      <c r="K337" s="179"/>
      <c r="L337" s="179"/>
      <c r="M337" s="179"/>
      <c r="N337" s="181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</row>
    <row r="338" ht="15.75" customHeight="1">
      <c r="A338" s="178"/>
      <c r="B338" s="178"/>
      <c r="C338" s="178"/>
      <c r="D338" s="6"/>
      <c r="E338" s="6"/>
      <c r="F338" s="6"/>
      <c r="G338" s="6"/>
      <c r="H338" s="180"/>
      <c r="I338" s="179"/>
      <c r="J338" s="179"/>
      <c r="K338" s="179"/>
      <c r="L338" s="179"/>
      <c r="M338" s="179"/>
      <c r="N338" s="181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</row>
    <row r="339" ht="15.75" customHeight="1">
      <c r="A339" s="178"/>
      <c r="B339" s="178"/>
      <c r="C339" s="178"/>
      <c r="D339" s="6"/>
      <c r="E339" s="6"/>
      <c r="F339" s="6"/>
      <c r="G339" s="6"/>
      <c r="H339" s="180"/>
      <c r="I339" s="179"/>
      <c r="J339" s="179"/>
      <c r="K339" s="179"/>
      <c r="L339" s="179"/>
      <c r="M339" s="179"/>
      <c r="N339" s="181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  <c r="AB339" s="179"/>
      <c r="AC339" s="179"/>
      <c r="AD339" s="179"/>
      <c r="AE339" s="179"/>
      <c r="AF339" s="179"/>
      <c r="AG339" s="179"/>
      <c r="AH339" s="179"/>
      <c r="AI339" s="179"/>
      <c r="AJ339" s="179"/>
      <c r="AK339" s="179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</row>
    <row r="340" ht="15.75" customHeight="1">
      <c r="A340" s="178"/>
      <c r="B340" s="178"/>
      <c r="C340" s="178"/>
      <c r="D340" s="6"/>
      <c r="E340" s="6"/>
      <c r="F340" s="6"/>
      <c r="G340" s="6"/>
      <c r="H340" s="180"/>
      <c r="I340" s="179"/>
      <c r="J340" s="179"/>
      <c r="K340" s="179"/>
      <c r="L340" s="179"/>
      <c r="M340" s="179"/>
      <c r="N340" s="181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  <c r="AA340" s="179"/>
      <c r="AB340" s="179"/>
      <c r="AC340" s="179"/>
      <c r="AD340" s="179"/>
      <c r="AE340" s="179"/>
      <c r="AF340" s="179"/>
      <c r="AG340" s="179"/>
      <c r="AH340" s="179"/>
      <c r="AI340" s="179"/>
      <c r="AJ340" s="179"/>
      <c r="AK340" s="179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</row>
    <row r="341" ht="15.75" customHeight="1">
      <c r="A341" s="178"/>
      <c r="B341" s="178"/>
      <c r="C341" s="178"/>
      <c r="D341" s="6"/>
      <c r="E341" s="6"/>
      <c r="F341" s="6"/>
      <c r="G341" s="6"/>
      <c r="H341" s="180"/>
      <c r="I341" s="179"/>
      <c r="J341" s="179"/>
      <c r="K341" s="179"/>
      <c r="L341" s="179"/>
      <c r="M341" s="179"/>
      <c r="N341" s="181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9"/>
      <c r="AF341" s="179"/>
      <c r="AG341" s="179"/>
      <c r="AH341" s="179"/>
      <c r="AI341" s="179"/>
      <c r="AJ341" s="179"/>
      <c r="AK341" s="179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</row>
    <row r="342" ht="15.75" customHeight="1">
      <c r="A342" s="178"/>
      <c r="B342" s="178"/>
      <c r="C342" s="178"/>
      <c r="D342" s="6"/>
      <c r="E342" s="6"/>
      <c r="F342" s="6"/>
      <c r="G342" s="6"/>
      <c r="H342" s="180"/>
      <c r="I342" s="179"/>
      <c r="J342" s="179"/>
      <c r="K342" s="179"/>
      <c r="L342" s="179"/>
      <c r="M342" s="179"/>
      <c r="N342" s="181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  <c r="AA342" s="179"/>
      <c r="AB342" s="179"/>
      <c r="AC342" s="179"/>
      <c r="AD342" s="179"/>
      <c r="AE342" s="179"/>
      <c r="AF342" s="179"/>
      <c r="AG342" s="179"/>
      <c r="AH342" s="179"/>
      <c r="AI342" s="179"/>
      <c r="AJ342" s="179"/>
      <c r="AK342" s="179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</row>
    <row r="343" ht="15.75" customHeight="1">
      <c r="A343" s="178"/>
      <c r="B343" s="178"/>
      <c r="C343" s="178"/>
      <c r="D343" s="6"/>
      <c r="E343" s="6"/>
      <c r="F343" s="6"/>
      <c r="G343" s="6"/>
      <c r="H343" s="180"/>
      <c r="I343" s="179"/>
      <c r="J343" s="179"/>
      <c r="K343" s="179"/>
      <c r="L343" s="179"/>
      <c r="M343" s="179"/>
      <c r="N343" s="181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9"/>
      <c r="AA343" s="179"/>
      <c r="AB343" s="179"/>
      <c r="AC343" s="179"/>
      <c r="AD343" s="179"/>
      <c r="AE343" s="179"/>
      <c r="AF343" s="179"/>
      <c r="AG343" s="179"/>
      <c r="AH343" s="179"/>
      <c r="AI343" s="179"/>
      <c r="AJ343" s="179"/>
      <c r="AK343" s="179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</row>
    <row r="344" ht="15.75" customHeight="1">
      <c r="A344" s="178"/>
      <c r="B344" s="178"/>
      <c r="C344" s="178"/>
      <c r="D344" s="6"/>
      <c r="E344" s="6"/>
      <c r="F344" s="6"/>
      <c r="G344" s="6"/>
      <c r="H344" s="180"/>
      <c r="I344" s="179"/>
      <c r="J344" s="179"/>
      <c r="K344" s="179"/>
      <c r="L344" s="179"/>
      <c r="M344" s="179"/>
      <c r="N344" s="181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</row>
    <row r="345" ht="15.75" customHeight="1">
      <c r="A345" s="178"/>
      <c r="B345" s="178"/>
      <c r="C345" s="178"/>
      <c r="D345" s="6"/>
      <c r="E345" s="6"/>
      <c r="F345" s="6"/>
      <c r="G345" s="6"/>
      <c r="H345" s="180"/>
      <c r="I345" s="179"/>
      <c r="J345" s="179"/>
      <c r="K345" s="179"/>
      <c r="L345" s="179"/>
      <c r="M345" s="179"/>
      <c r="N345" s="181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  <c r="AA345" s="179"/>
      <c r="AB345" s="179"/>
      <c r="AC345" s="179"/>
      <c r="AD345" s="179"/>
      <c r="AE345" s="179"/>
      <c r="AF345" s="179"/>
      <c r="AG345" s="179"/>
      <c r="AH345" s="179"/>
      <c r="AI345" s="179"/>
      <c r="AJ345" s="179"/>
      <c r="AK345" s="179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</row>
    <row r="346" ht="15.75" customHeight="1">
      <c r="A346" s="178"/>
      <c r="B346" s="178"/>
      <c r="C346" s="178"/>
      <c r="D346" s="6"/>
      <c r="E346" s="6"/>
      <c r="F346" s="6"/>
      <c r="G346" s="6"/>
      <c r="H346" s="180"/>
      <c r="I346" s="179"/>
      <c r="J346" s="179"/>
      <c r="K346" s="179"/>
      <c r="L346" s="179"/>
      <c r="M346" s="179"/>
      <c r="N346" s="181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  <c r="AA346" s="179"/>
      <c r="AB346" s="179"/>
      <c r="AC346" s="179"/>
      <c r="AD346" s="179"/>
      <c r="AE346" s="179"/>
      <c r="AF346" s="179"/>
      <c r="AG346" s="179"/>
      <c r="AH346" s="179"/>
      <c r="AI346" s="179"/>
      <c r="AJ346" s="179"/>
      <c r="AK346" s="179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</row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$A$1:$BE$994">
    <sortState ref="A1:BE994">
      <sortCondition ref="J1:J994"/>
      <sortCondition ref="B1:B994"/>
    </sortState>
  </autoFilter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2.0"/>
    <col customWidth="1" min="2" max="3" width="18.88"/>
    <col customWidth="1" min="4" max="4" width="32.25"/>
    <col customWidth="1" min="5" max="5" width="29.38"/>
    <col customWidth="1" min="6" max="6" width="23.13"/>
    <col customWidth="1" min="7" max="7" width="50.25"/>
    <col customWidth="1" min="8" max="8" width="28.63"/>
    <col customWidth="1" min="9" max="37" width="18.88"/>
    <col customWidth="1" min="38" max="57" width="12.0"/>
  </cols>
  <sheetData>
    <row r="1" ht="79.5" customHeight="1">
      <c r="A1" s="61" t="s">
        <v>340</v>
      </c>
      <c r="B1" s="182" t="s">
        <v>341</v>
      </c>
      <c r="C1" s="34" t="s">
        <v>342</v>
      </c>
      <c r="D1" s="34" t="s">
        <v>343</v>
      </c>
      <c r="E1" s="34" t="s">
        <v>344</v>
      </c>
      <c r="F1" s="182" t="s">
        <v>346</v>
      </c>
      <c r="G1" s="183" t="s">
        <v>13</v>
      </c>
      <c r="H1" s="183" t="s">
        <v>14</v>
      </c>
      <c r="I1" s="183" t="s">
        <v>347</v>
      </c>
      <c r="J1" s="183" t="s">
        <v>25</v>
      </c>
      <c r="K1" s="183" t="s">
        <v>26</v>
      </c>
      <c r="L1" s="183" t="s">
        <v>17</v>
      </c>
      <c r="M1" s="184" t="s">
        <v>15</v>
      </c>
      <c r="N1" s="185" t="s">
        <v>729</v>
      </c>
      <c r="O1" s="186" t="s">
        <v>349</v>
      </c>
      <c r="P1" s="186" t="s">
        <v>730</v>
      </c>
      <c r="Q1" s="186" t="s">
        <v>361</v>
      </c>
      <c r="R1" s="186" t="s">
        <v>352</v>
      </c>
      <c r="S1" s="187" t="s">
        <v>363</v>
      </c>
      <c r="T1" s="186" t="s">
        <v>367</v>
      </c>
      <c r="U1" s="188" t="s">
        <v>355</v>
      </c>
      <c r="V1" s="189" t="s">
        <v>356</v>
      </c>
      <c r="W1" s="189" t="s">
        <v>357</v>
      </c>
      <c r="X1" s="190" t="s">
        <v>731</v>
      </c>
      <c r="Y1" s="191" t="s">
        <v>359</v>
      </c>
      <c r="Z1" s="192" t="s">
        <v>349</v>
      </c>
      <c r="AA1" s="192" t="s">
        <v>360</v>
      </c>
      <c r="AB1" s="192" t="s">
        <v>361</v>
      </c>
      <c r="AC1" s="192" t="s">
        <v>362</v>
      </c>
      <c r="AD1" s="187" t="s">
        <v>363</v>
      </c>
      <c r="AE1" s="193" t="s">
        <v>364</v>
      </c>
      <c r="AF1" s="193" t="s">
        <v>365</v>
      </c>
      <c r="AG1" s="193" t="s">
        <v>366</v>
      </c>
      <c r="AH1" s="192" t="s">
        <v>367</v>
      </c>
      <c r="AI1" s="192" t="s">
        <v>368</v>
      </c>
      <c r="AJ1" s="194" t="s">
        <v>369</v>
      </c>
      <c r="AK1" s="195" t="s">
        <v>370</v>
      </c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</row>
    <row r="2" ht="15.75" customHeight="1">
      <c r="A2" s="81" t="s">
        <v>371</v>
      </c>
      <c r="B2" s="82"/>
      <c r="C2" s="83"/>
      <c r="D2" s="84" t="s">
        <v>372</v>
      </c>
      <c r="E2" s="84" t="s">
        <v>373</v>
      </c>
      <c r="F2" s="85">
        <v>1.0</v>
      </c>
      <c r="G2" s="86" t="s">
        <v>28</v>
      </c>
      <c r="H2" s="86" t="s">
        <v>27</v>
      </c>
      <c r="I2" s="84" t="s">
        <v>375</v>
      </c>
      <c r="J2" s="86" t="s">
        <v>30</v>
      </c>
      <c r="K2" s="86" t="s">
        <v>376</v>
      </c>
      <c r="L2" s="197">
        <v>5.0</v>
      </c>
      <c r="M2" s="198"/>
      <c r="N2" s="87">
        <v>54.878505000000004</v>
      </c>
      <c r="O2" s="88">
        <f t="shared" ref="O2:O146" si="1">Q2-P2</f>
        <v>54.87776504</v>
      </c>
      <c r="P2" s="88">
        <f t="shared" ref="P2:P146" si="2">Q2*13.82%</f>
        <v>8.800309965</v>
      </c>
      <c r="Q2" s="88">
        <f t="shared" ref="Q2:Q146" si="3">S2-R2</f>
        <v>63.678075</v>
      </c>
      <c r="R2" s="88">
        <f t="shared" ref="R2:R146" si="4">S2*3%</f>
        <v>1.969425</v>
      </c>
      <c r="S2" s="89">
        <f t="shared" ref="S2:S146" si="5">U2-T2</f>
        <v>65.6475</v>
      </c>
      <c r="T2" s="88">
        <f t="shared" ref="T2:T146" si="6">U2*25%</f>
        <v>21.8825</v>
      </c>
      <c r="U2" s="90">
        <v>87.53</v>
      </c>
      <c r="V2" s="90">
        <f t="shared" ref="V2:V146" si="7">U2*40%</f>
        <v>35.012</v>
      </c>
      <c r="W2" s="91">
        <f t="shared" ref="W2:W146" si="8">V2*13.63%</f>
        <v>4.7721356</v>
      </c>
      <c r="X2" s="92">
        <f t="shared" ref="X2:X146" si="9">U2+W2</f>
        <v>92.3021356</v>
      </c>
      <c r="Y2" s="93">
        <f t="shared" ref="Y2:Y146" si="10">N2-O2</f>
        <v>0.000739965</v>
      </c>
      <c r="Z2" s="88">
        <f t="shared" ref="Z2:Z146" si="11">AB2-AA2</f>
        <v>0</v>
      </c>
      <c r="AA2" s="88">
        <f t="shared" ref="AA2:AA146" si="12">AB2*12%</f>
        <v>0</v>
      </c>
      <c r="AB2" s="88">
        <f t="shared" ref="AB2:AB146" si="13">AD2-AC2</f>
        <v>0</v>
      </c>
      <c r="AC2" s="88">
        <f t="shared" ref="AC2:AC146" si="14">AD2*5%</f>
        <v>0</v>
      </c>
      <c r="AD2" s="89">
        <f t="shared" ref="AD2:AD146" si="15">AK2-AH2-AI2</f>
        <v>0</v>
      </c>
      <c r="AE2" s="94"/>
      <c r="AF2" s="94"/>
      <c r="AG2" s="94"/>
      <c r="AH2" s="88">
        <f t="shared" ref="AH2:AH146" si="16">(AK2-AI2)*25%</f>
        <v>0</v>
      </c>
      <c r="AI2" s="88">
        <f t="shared" ref="AI2:AI146" si="17">(AJ2*W2)</f>
        <v>0</v>
      </c>
      <c r="AJ2" s="95" t="str">
        <f>IF(Pedido!I12="ATENDE QTD. MÍNIMA",Pedido!H12,"")</f>
        <v/>
      </c>
      <c r="AK2" s="93">
        <f t="shared" ref="AK2:AK146" si="18">AJ2*X2</f>
        <v>0</v>
      </c>
      <c r="AL2" s="6"/>
      <c r="AM2" s="6"/>
      <c r="AN2" s="6"/>
      <c r="AO2" s="6"/>
      <c r="AP2" s="6"/>
      <c r="AQ2" s="6"/>
      <c r="AR2" s="6"/>
      <c r="AS2" s="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</row>
    <row r="3" ht="15.75" customHeight="1">
      <c r="A3" s="98" t="s">
        <v>371</v>
      </c>
      <c r="B3" s="99"/>
      <c r="C3" s="100"/>
      <c r="D3" s="101"/>
      <c r="E3" s="102" t="s">
        <v>378</v>
      </c>
      <c r="F3" s="103">
        <v>2.0</v>
      </c>
      <c r="G3" s="102" t="s">
        <v>380</v>
      </c>
      <c r="H3" s="102" t="s">
        <v>377</v>
      </c>
      <c r="I3" s="102" t="s">
        <v>33</v>
      </c>
      <c r="J3" s="102" t="s">
        <v>34</v>
      </c>
      <c r="K3" s="102" t="s">
        <v>35</v>
      </c>
      <c r="L3" s="199">
        <v>0.5</v>
      </c>
      <c r="M3" s="200"/>
      <c r="N3" s="87">
        <v>132.80598210000002</v>
      </c>
      <c r="O3" s="104">
        <f t="shared" si="1"/>
        <v>132.8060356</v>
      </c>
      <c r="P3" s="104">
        <f t="shared" si="2"/>
        <v>21.29704585</v>
      </c>
      <c r="Q3" s="104">
        <f t="shared" si="3"/>
        <v>154.1030814</v>
      </c>
      <c r="R3" s="104">
        <f t="shared" si="4"/>
        <v>4.766074683</v>
      </c>
      <c r="S3" s="105">
        <f t="shared" si="5"/>
        <v>158.8691561</v>
      </c>
      <c r="T3" s="104">
        <f t="shared" si="6"/>
        <v>52.95638536</v>
      </c>
      <c r="U3" s="106">
        <v>211.8255414495</v>
      </c>
      <c r="V3" s="106">
        <f t="shared" si="7"/>
        <v>84.73021658</v>
      </c>
      <c r="W3" s="107">
        <f t="shared" si="8"/>
        <v>11.54872852</v>
      </c>
      <c r="X3" s="108">
        <f t="shared" si="9"/>
        <v>223.37427</v>
      </c>
      <c r="Y3" s="93">
        <f t="shared" si="10"/>
        <v>-0.00005345440781</v>
      </c>
      <c r="Z3" s="104">
        <f t="shared" si="11"/>
        <v>0</v>
      </c>
      <c r="AA3" s="104">
        <f t="shared" si="12"/>
        <v>0</v>
      </c>
      <c r="AB3" s="104">
        <f t="shared" si="13"/>
        <v>0</v>
      </c>
      <c r="AC3" s="104">
        <f t="shared" si="14"/>
        <v>0</v>
      </c>
      <c r="AD3" s="105">
        <f t="shared" si="15"/>
        <v>0</v>
      </c>
      <c r="AE3" s="109"/>
      <c r="AF3" s="109"/>
      <c r="AG3" s="109"/>
      <c r="AH3" s="104">
        <f t="shared" si="16"/>
        <v>0</v>
      </c>
      <c r="AI3" s="104">
        <f t="shared" si="17"/>
        <v>0</v>
      </c>
      <c r="AJ3" s="95" t="str">
        <f>IF(Pedido!I13="ATENDE QTD. MÍNIMA",Pedido!H13,"")</f>
        <v/>
      </c>
      <c r="AK3" s="110">
        <f t="shared" si="18"/>
        <v>0</v>
      </c>
      <c r="AL3" s="6"/>
      <c r="AM3" s="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</row>
    <row r="4" ht="15.75" customHeight="1">
      <c r="A4" s="98" t="s">
        <v>371</v>
      </c>
      <c r="B4" s="99"/>
      <c r="C4" s="100"/>
      <c r="D4" s="101"/>
      <c r="E4" s="102" t="s">
        <v>381</v>
      </c>
      <c r="F4" s="103">
        <v>4.0</v>
      </c>
      <c r="G4" s="102" t="s">
        <v>40</v>
      </c>
      <c r="H4" s="102" t="s">
        <v>39</v>
      </c>
      <c r="I4" s="102" t="s">
        <v>41</v>
      </c>
      <c r="J4" s="102" t="s">
        <v>42</v>
      </c>
      <c r="K4" s="102" t="s">
        <v>35</v>
      </c>
      <c r="L4" s="199">
        <v>5.0</v>
      </c>
      <c r="M4" s="200"/>
      <c r="N4" s="87">
        <v>66.40299105000001</v>
      </c>
      <c r="O4" s="111">
        <f t="shared" si="1"/>
        <v>66.39501105</v>
      </c>
      <c r="P4" s="104">
        <f t="shared" si="2"/>
        <v>10.64723895</v>
      </c>
      <c r="Q4" s="104">
        <f t="shared" si="3"/>
        <v>77.04225</v>
      </c>
      <c r="R4" s="104">
        <f t="shared" si="4"/>
        <v>2.38275</v>
      </c>
      <c r="S4" s="105">
        <f t="shared" si="5"/>
        <v>79.425</v>
      </c>
      <c r="T4" s="104">
        <f t="shared" si="6"/>
        <v>26.475</v>
      </c>
      <c r="U4" s="106">
        <v>105.9</v>
      </c>
      <c r="V4" s="106">
        <f t="shared" si="7"/>
        <v>42.36</v>
      </c>
      <c r="W4" s="107">
        <f t="shared" si="8"/>
        <v>5.773668</v>
      </c>
      <c r="X4" s="108">
        <f t="shared" si="9"/>
        <v>111.673668</v>
      </c>
      <c r="Y4" s="93">
        <f t="shared" si="10"/>
        <v>0.00798</v>
      </c>
      <c r="Z4" s="104">
        <f t="shared" si="11"/>
        <v>0</v>
      </c>
      <c r="AA4" s="104">
        <f t="shared" si="12"/>
        <v>0</v>
      </c>
      <c r="AB4" s="104">
        <f t="shared" si="13"/>
        <v>0</v>
      </c>
      <c r="AC4" s="104">
        <f t="shared" si="14"/>
        <v>0</v>
      </c>
      <c r="AD4" s="105">
        <f t="shared" si="15"/>
        <v>0</v>
      </c>
      <c r="AE4" s="109"/>
      <c r="AF4" s="109"/>
      <c r="AG4" s="109"/>
      <c r="AH4" s="104">
        <f t="shared" si="16"/>
        <v>0</v>
      </c>
      <c r="AI4" s="104">
        <f t="shared" si="17"/>
        <v>0</v>
      </c>
      <c r="AJ4" s="95" t="str">
        <f>IF(Pedido!I14="ATENDE QTD. MÍNIMA",Pedido!H14,"")</f>
        <v/>
      </c>
      <c r="AK4" s="110">
        <f t="shared" si="18"/>
        <v>0</v>
      </c>
      <c r="AL4" s="6"/>
      <c r="AM4" s="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</row>
    <row r="5" ht="15.75" customHeight="1">
      <c r="A5" s="98" t="s">
        <v>371</v>
      </c>
      <c r="B5" s="99"/>
      <c r="C5" s="100"/>
      <c r="D5" s="101"/>
      <c r="E5" s="102" t="s">
        <v>384</v>
      </c>
      <c r="F5" s="103">
        <v>5.0</v>
      </c>
      <c r="G5" s="102" t="s">
        <v>47</v>
      </c>
      <c r="H5" s="102" t="s">
        <v>383</v>
      </c>
      <c r="I5" s="112" t="s">
        <v>45</v>
      </c>
      <c r="J5" s="102" t="s">
        <v>34</v>
      </c>
      <c r="K5" s="102" t="s">
        <v>48</v>
      </c>
      <c r="L5" s="199">
        <v>2.0</v>
      </c>
      <c r="M5" s="200"/>
      <c r="N5" s="87">
        <v>19.920897315</v>
      </c>
      <c r="O5" s="113">
        <f t="shared" si="1"/>
        <v>19.9373121</v>
      </c>
      <c r="P5" s="104">
        <f t="shared" si="2"/>
        <v>3.1971879</v>
      </c>
      <c r="Q5" s="104">
        <f t="shared" si="3"/>
        <v>23.1345</v>
      </c>
      <c r="R5" s="104">
        <f t="shared" si="4"/>
        <v>0.7155</v>
      </c>
      <c r="S5" s="105">
        <f t="shared" si="5"/>
        <v>23.85</v>
      </c>
      <c r="T5" s="104">
        <f t="shared" si="6"/>
        <v>7.95</v>
      </c>
      <c r="U5" s="106">
        <v>31.8</v>
      </c>
      <c r="V5" s="106">
        <f t="shared" si="7"/>
        <v>12.72</v>
      </c>
      <c r="W5" s="107">
        <f t="shared" si="8"/>
        <v>1.733736</v>
      </c>
      <c r="X5" s="108">
        <f t="shared" si="9"/>
        <v>33.533736</v>
      </c>
      <c r="Y5" s="93">
        <f t="shared" si="10"/>
        <v>-0.016414785</v>
      </c>
      <c r="Z5" s="104">
        <f t="shared" si="11"/>
        <v>0</v>
      </c>
      <c r="AA5" s="104">
        <f t="shared" si="12"/>
        <v>0</v>
      </c>
      <c r="AB5" s="104">
        <f t="shared" si="13"/>
        <v>0</v>
      </c>
      <c r="AC5" s="104">
        <f t="shared" si="14"/>
        <v>0</v>
      </c>
      <c r="AD5" s="105">
        <f t="shared" si="15"/>
        <v>0</v>
      </c>
      <c r="AE5" s="109"/>
      <c r="AF5" s="109"/>
      <c r="AG5" s="109"/>
      <c r="AH5" s="104">
        <f t="shared" si="16"/>
        <v>0</v>
      </c>
      <c r="AI5" s="104">
        <f t="shared" si="17"/>
        <v>0</v>
      </c>
      <c r="AJ5" s="95" t="str">
        <f>IF(Pedido!I15="ATENDE QTD. MÍNIMA",Pedido!H15,"")</f>
        <v/>
      </c>
      <c r="AK5" s="110">
        <f t="shared" si="18"/>
        <v>0</v>
      </c>
      <c r="AL5" s="6"/>
      <c r="AM5" s="6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ht="15.75" customHeight="1">
      <c r="A6" s="98" t="s">
        <v>371</v>
      </c>
      <c r="B6" s="99"/>
      <c r="C6" s="100"/>
      <c r="D6" s="101"/>
      <c r="E6" s="102" t="s">
        <v>386</v>
      </c>
      <c r="F6" s="103">
        <v>6.0</v>
      </c>
      <c r="G6" s="102" t="s">
        <v>50</v>
      </c>
      <c r="H6" s="102" t="s">
        <v>49</v>
      </c>
      <c r="I6" s="112" t="s">
        <v>45</v>
      </c>
      <c r="J6" s="102" t="s">
        <v>34</v>
      </c>
      <c r="K6" s="102" t="s">
        <v>35</v>
      </c>
      <c r="L6" s="199">
        <v>1.0</v>
      </c>
      <c r="M6" s="200"/>
      <c r="N6" s="87">
        <v>132.80598210000002</v>
      </c>
      <c r="O6" s="104">
        <f t="shared" si="1"/>
        <v>132.8060356</v>
      </c>
      <c r="P6" s="104">
        <f t="shared" si="2"/>
        <v>21.29704585</v>
      </c>
      <c r="Q6" s="104">
        <f t="shared" si="3"/>
        <v>154.1030814</v>
      </c>
      <c r="R6" s="104">
        <f t="shared" si="4"/>
        <v>4.766074683</v>
      </c>
      <c r="S6" s="105">
        <f t="shared" si="5"/>
        <v>158.8691561</v>
      </c>
      <c r="T6" s="104">
        <f t="shared" si="6"/>
        <v>52.95638536</v>
      </c>
      <c r="U6" s="106">
        <v>211.82554144950004</v>
      </c>
      <c r="V6" s="106">
        <f t="shared" si="7"/>
        <v>84.73021658</v>
      </c>
      <c r="W6" s="107">
        <f t="shared" si="8"/>
        <v>11.54872852</v>
      </c>
      <c r="X6" s="108">
        <f t="shared" si="9"/>
        <v>223.37427</v>
      </c>
      <c r="Y6" s="93">
        <f t="shared" si="10"/>
        <v>-0.00005345440781</v>
      </c>
      <c r="Z6" s="104">
        <f t="shared" si="11"/>
        <v>0</v>
      </c>
      <c r="AA6" s="104">
        <f t="shared" si="12"/>
        <v>0</v>
      </c>
      <c r="AB6" s="104">
        <f t="shared" si="13"/>
        <v>0</v>
      </c>
      <c r="AC6" s="104">
        <f t="shared" si="14"/>
        <v>0</v>
      </c>
      <c r="AD6" s="105">
        <f t="shared" si="15"/>
        <v>0</v>
      </c>
      <c r="AE6" s="109"/>
      <c r="AF6" s="109"/>
      <c r="AG6" s="109"/>
      <c r="AH6" s="104">
        <f t="shared" si="16"/>
        <v>0</v>
      </c>
      <c r="AI6" s="104">
        <f t="shared" si="17"/>
        <v>0</v>
      </c>
      <c r="AJ6" s="95" t="str">
        <f>IF(Pedido!I16="ATENDE QTD. MÍNIMA",Pedido!H16,"")</f>
        <v/>
      </c>
      <c r="AK6" s="110">
        <f t="shared" si="18"/>
        <v>0</v>
      </c>
      <c r="AL6" s="6"/>
      <c r="AM6" s="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</row>
    <row r="7" ht="15.75" customHeight="1">
      <c r="A7" s="98" t="s">
        <v>371</v>
      </c>
      <c r="B7" s="99"/>
      <c r="C7" s="100"/>
      <c r="D7" s="101"/>
      <c r="E7" s="102" t="s">
        <v>389</v>
      </c>
      <c r="F7" s="103">
        <v>8.0</v>
      </c>
      <c r="G7" s="102" t="s">
        <v>52</v>
      </c>
      <c r="H7" s="102" t="s">
        <v>388</v>
      </c>
      <c r="I7" s="112" t="s">
        <v>45</v>
      </c>
      <c r="J7" s="102" t="s">
        <v>34</v>
      </c>
      <c r="K7" s="102" t="s">
        <v>35</v>
      </c>
      <c r="L7" s="199">
        <v>5.0</v>
      </c>
      <c r="M7" s="200"/>
      <c r="N7" s="87">
        <v>19.920897315</v>
      </c>
      <c r="O7" s="111">
        <f t="shared" si="1"/>
        <v>19.90596413</v>
      </c>
      <c r="P7" s="104">
        <f t="shared" si="2"/>
        <v>3.192160875</v>
      </c>
      <c r="Q7" s="104">
        <f t="shared" si="3"/>
        <v>23.098125</v>
      </c>
      <c r="R7" s="104">
        <f t="shared" si="4"/>
        <v>0.714375</v>
      </c>
      <c r="S7" s="105">
        <f t="shared" si="5"/>
        <v>23.8125</v>
      </c>
      <c r="T7" s="104">
        <f t="shared" si="6"/>
        <v>7.9375</v>
      </c>
      <c r="U7" s="106">
        <v>31.75</v>
      </c>
      <c r="V7" s="106">
        <f t="shared" si="7"/>
        <v>12.7</v>
      </c>
      <c r="W7" s="107">
        <f t="shared" si="8"/>
        <v>1.73101</v>
      </c>
      <c r="X7" s="108">
        <f t="shared" si="9"/>
        <v>33.48101</v>
      </c>
      <c r="Y7" s="93">
        <f t="shared" si="10"/>
        <v>0.01493319</v>
      </c>
      <c r="Z7" s="104">
        <f t="shared" si="11"/>
        <v>0</v>
      </c>
      <c r="AA7" s="104">
        <f t="shared" si="12"/>
        <v>0</v>
      </c>
      <c r="AB7" s="104">
        <f t="shared" si="13"/>
        <v>0</v>
      </c>
      <c r="AC7" s="104">
        <f t="shared" si="14"/>
        <v>0</v>
      </c>
      <c r="AD7" s="105">
        <f t="shared" si="15"/>
        <v>0</v>
      </c>
      <c r="AE7" s="109"/>
      <c r="AF7" s="109"/>
      <c r="AG7" s="109"/>
      <c r="AH7" s="104">
        <f t="shared" si="16"/>
        <v>0</v>
      </c>
      <c r="AI7" s="104">
        <f t="shared" si="17"/>
        <v>0</v>
      </c>
      <c r="AJ7" s="95" t="str">
        <f>IF(Pedido!I17="ATENDE QTD. MÍNIMA",Pedido!H17,"")</f>
        <v/>
      </c>
      <c r="AK7" s="110">
        <f t="shared" si="18"/>
        <v>0</v>
      </c>
      <c r="AL7" s="6"/>
      <c r="AM7" s="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</row>
    <row r="8" ht="15.75" customHeight="1">
      <c r="A8" s="98" t="s">
        <v>371</v>
      </c>
      <c r="B8" s="99"/>
      <c r="C8" s="100"/>
      <c r="D8" s="101"/>
      <c r="E8" s="102" t="s">
        <v>392</v>
      </c>
      <c r="F8" s="103">
        <v>7.0</v>
      </c>
      <c r="G8" s="102" t="s">
        <v>54</v>
      </c>
      <c r="H8" s="102" t="s">
        <v>391</v>
      </c>
      <c r="I8" s="112" t="s">
        <v>45</v>
      </c>
      <c r="J8" s="102" t="s">
        <v>34</v>
      </c>
      <c r="K8" s="102" t="s">
        <v>48</v>
      </c>
      <c r="L8" s="199">
        <v>5.0</v>
      </c>
      <c r="M8" s="200"/>
      <c r="N8" s="87">
        <v>13.28059821</v>
      </c>
      <c r="O8" s="111">
        <f t="shared" si="1"/>
        <v>13.2915414</v>
      </c>
      <c r="P8" s="104">
        <f t="shared" si="2"/>
        <v>2.1314586</v>
      </c>
      <c r="Q8" s="104">
        <f t="shared" si="3"/>
        <v>15.423</v>
      </c>
      <c r="R8" s="104">
        <f t="shared" si="4"/>
        <v>0.477</v>
      </c>
      <c r="S8" s="105">
        <f t="shared" si="5"/>
        <v>15.9</v>
      </c>
      <c r="T8" s="104">
        <f t="shared" si="6"/>
        <v>5.3</v>
      </c>
      <c r="U8" s="106">
        <v>21.2</v>
      </c>
      <c r="V8" s="106">
        <f t="shared" si="7"/>
        <v>8.48</v>
      </c>
      <c r="W8" s="107">
        <f t="shared" si="8"/>
        <v>1.155824</v>
      </c>
      <c r="X8" s="108">
        <f t="shared" si="9"/>
        <v>22.355824</v>
      </c>
      <c r="Y8" s="93">
        <f t="shared" si="10"/>
        <v>-0.01094319</v>
      </c>
      <c r="Z8" s="104">
        <f t="shared" si="11"/>
        <v>0</v>
      </c>
      <c r="AA8" s="104">
        <f t="shared" si="12"/>
        <v>0</v>
      </c>
      <c r="AB8" s="104">
        <f t="shared" si="13"/>
        <v>0</v>
      </c>
      <c r="AC8" s="104">
        <f t="shared" si="14"/>
        <v>0</v>
      </c>
      <c r="AD8" s="105">
        <f t="shared" si="15"/>
        <v>0</v>
      </c>
      <c r="AE8" s="109"/>
      <c r="AF8" s="109"/>
      <c r="AG8" s="109"/>
      <c r="AH8" s="104">
        <f t="shared" si="16"/>
        <v>0</v>
      </c>
      <c r="AI8" s="104">
        <f t="shared" si="17"/>
        <v>0</v>
      </c>
      <c r="AJ8" s="95" t="str">
        <f>IF(Pedido!I18="ATENDE QTD. MÍNIMA",Pedido!H18,"")</f>
        <v/>
      </c>
      <c r="AK8" s="110">
        <f t="shared" si="18"/>
        <v>0</v>
      </c>
      <c r="AL8" s="6"/>
      <c r="AM8" s="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</row>
    <row r="9" ht="15.75" customHeight="1">
      <c r="A9" s="98" t="s">
        <v>371</v>
      </c>
      <c r="B9" s="99"/>
      <c r="C9" s="100"/>
      <c r="D9" s="101"/>
      <c r="E9" s="102" t="s">
        <v>394</v>
      </c>
      <c r="F9" s="103">
        <v>9.0</v>
      </c>
      <c r="G9" s="102" t="s">
        <v>56</v>
      </c>
      <c r="H9" s="102" t="s">
        <v>55</v>
      </c>
      <c r="I9" s="112" t="s">
        <v>45</v>
      </c>
      <c r="J9" s="102" t="s">
        <v>34</v>
      </c>
      <c r="K9" s="102" t="s">
        <v>57</v>
      </c>
      <c r="L9" s="199">
        <v>0.1</v>
      </c>
      <c r="M9" s="200"/>
      <c r="N9" s="87">
        <v>132.80598210000002</v>
      </c>
      <c r="O9" s="113">
        <f t="shared" si="1"/>
        <v>132.8060356</v>
      </c>
      <c r="P9" s="104">
        <f t="shared" si="2"/>
        <v>21.29704585</v>
      </c>
      <c r="Q9" s="104">
        <f t="shared" si="3"/>
        <v>154.1030814</v>
      </c>
      <c r="R9" s="104">
        <f t="shared" si="4"/>
        <v>4.766074683</v>
      </c>
      <c r="S9" s="105">
        <f t="shared" si="5"/>
        <v>158.8691561</v>
      </c>
      <c r="T9" s="104">
        <f t="shared" si="6"/>
        <v>52.95638536</v>
      </c>
      <c r="U9" s="106">
        <v>211.82554144950004</v>
      </c>
      <c r="V9" s="106">
        <f t="shared" si="7"/>
        <v>84.73021658</v>
      </c>
      <c r="W9" s="107">
        <f t="shared" si="8"/>
        <v>11.54872852</v>
      </c>
      <c r="X9" s="108">
        <f t="shared" si="9"/>
        <v>223.37427</v>
      </c>
      <c r="Y9" s="93">
        <f t="shared" si="10"/>
        <v>-0.00005345440781</v>
      </c>
      <c r="Z9" s="104">
        <f t="shared" si="11"/>
        <v>0</v>
      </c>
      <c r="AA9" s="104">
        <f t="shared" si="12"/>
        <v>0</v>
      </c>
      <c r="AB9" s="104">
        <f t="shared" si="13"/>
        <v>0</v>
      </c>
      <c r="AC9" s="104">
        <f t="shared" si="14"/>
        <v>0</v>
      </c>
      <c r="AD9" s="105">
        <f t="shared" si="15"/>
        <v>0</v>
      </c>
      <c r="AE9" s="109"/>
      <c r="AF9" s="109"/>
      <c r="AG9" s="109"/>
      <c r="AH9" s="104">
        <f t="shared" si="16"/>
        <v>0</v>
      </c>
      <c r="AI9" s="104">
        <f t="shared" si="17"/>
        <v>0</v>
      </c>
      <c r="AJ9" s="95" t="str">
        <f>IF(Pedido!I19="ATENDE QTD. MÍNIMA",Pedido!H19,"")</f>
        <v/>
      </c>
      <c r="AK9" s="110">
        <f t="shared" si="18"/>
        <v>0</v>
      </c>
      <c r="AL9" s="6"/>
      <c r="AM9" s="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</row>
    <row r="10" ht="15.75" customHeight="1">
      <c r="A10" s="98" t="s">
        <v>371</v>
      </c>
      <c r="B10" s="99"/>
      <c r="C10" s="100"/>
      <c r="D10" s="114"/>
      <c r="E10" s="102" t="s">
        <v>397</v>
      </c>
      <c r="F10" s="103">
        <v>10.0</v>
      </c>
      <c r="G10" s="102" t="s">
        <v>59</v>
      </c>
      <c r="H10" s="102" t="s">
        <v>396</v>
      </c>
      <c r="I10" s="112" t="s">
        <v>45</v>
      </c>
      <c r="J10" s="102" t="s">
        <v>34</v>
      </c>
      <c r="K10" s="102" t="s">
        <v>60</v>
      </c>
      <c r="L10" s="199">
        <v>0.1</v>
      </c>
      <c r="M10" s="200"/>
      <c r="N10" s="87">
        <v>132.80598210000002</v>
      </c>
      <c r="O10" s="113">
        <f t="shared" si="1"/>
        <v>132.8060356</v>
      </c>
      <c r="P10" s="104">
        <f t="shared" si="2"/>
        <v>21.29704585</v>
      </c>
      <c r="Q10" s="104">
        <f t="shared" si="3"/>
        <v>154.1030814</v>
      </c>
      <c r="R10" s="104">
        <f t="shared" si="4"/>
        <v>4.766074683</v>
      </c>
      <c r="S10" s="105">
        <f t="shared" si="5"/>
        <v>158.8691561</v>
      </c>
      <c r="T10" s="104">
        <f t="shared" si="6"/>
        <v>52.95638536</v>
      </c>
      <c r="U10" s="106">
        <v>211.82554144950004</v>
      </c>
      <c r="V10" s="106">
        <f t="shared" si="7"/>
        <v>84.73021658</v>
      </c>
      <c r="W10" s="107">
        <f t="shared" si="8"/>
        <v>11.54872852</v>
      </c>
      <c r="X10" s="108">
        <f t="shared" si="9"/>
        <v>223.37427</v>
      </c>
      <c r="Y10" s="93">
        <f t="shared" si="10"/>
        <v>-0.00005345440781</v>
      </c>
      <c r="Z10" s="104">
        <f t="shared" si="11"/>
        <v>0</v>
      </c>
      <c r="AA10" s="104">
        <f t="shared" si="12"/>
        <v>0</v>
      </c>
      <c r="AB10" s="104">
        <f t="shared" si="13"/>
        <v>0</v>
      </c>
      <c r="AC10" s="104">
        <f t="shared" si="14"/>
        <v>0</v>
      </c>
      <c r="AD10" s="105">
        <f t="shared" si="15"/>
        <v>0</v>
      </c>
      <c r="AE10" s="109"/>
      <c r="AF10" s="109"/>
      <c r="AG10" s="109"/>
      <c r="AH10" s="104">
        <f t="shared" si="16"/>
        <v>0</v>
      </c>
      <c r="AI10" s="104">
        <f t="shared" si="17"/>
        <v>0</v>
      </c>
      <c r="AJ10" s="95" t="str">
        <f>IF(Pedido!I20="ATENDE QTD. MÍNIMA",Pedido!H20,"")</f>
        <v/>
      </c>
      <c r="AK10" s="110">
        <f t="shared" si="18"/>
        <v>0</v>
      </c>
      <c r="AL10" s="115"/>
      <c r="AM10" s="6"/>
      <c r="AN10" s="5"/>
      <c r="AO10" s="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</row>
    <row r="11" ht="15.75" customHeight="1">
      <c r="A11" s="98" t="s">
        <v>371</v>
      </c>
      <c r="B11" s="99"/>
      <c r="C11" s="100"/>
      <c r="D11" s="114"/>
      <c r="E11" s="102" t="s">
        <v>399</v>
      </c>
      <c r="F11" s="103">
        <v>12.0</v>
      </c>
      <c r="G11" s="102" t="s">
        <v>401</v>
      </c>
      <c r="H11" s="102" t="s">
        <v>61</v>
      </c>
      <c r="I11" s="102" t="s">
        <v>63</v>
      </c>
      <c r="J11" s="102" t="s">
        <v>34</v>
      </c>
      <c r="K11" s="102" t="s">
        <v>35</v>
      </c>
      <c r="L11" s="199">
        <v>0.2</v>
      </c>
      <c r="M11" s="200"/>
      <c r="N11" s="87">
        <v>54.878505000000004</v>
      </c>
      <c r="O11" s="104">
        <f t="shared" si="1"/>
        <v>54.87852709</v>
      </c>
      <c r="P11" s="104">
        <f t="shared" si="2"/>
        <v>8.800432169</v>
      </c>
      <c r="Q11" s="104">
        <f t="shared" si="3"/>
        <v>63.67895926</v>
      </c>
      <c r="R11" s="104">
        <f t="shared" si="4"/>
        <v>1.969452348</v>
      </c>
      <c r="S11" s="105">
        <f t="shared" si="5"/>
        <v>65.64841161</v>
      </c>
      <c r="T11" s="104">
        <f t="shared" si="6"/>
        <v>21.88280387</v>
      </c>
      <c r="U11" s="106">
        <v>87.531215475</v>
      </c>
      <c r="V11" s="106">
        <f t="shared" si="7"/>
        <v>35.01248619</v>
      </c>
      <c r="W11" s="107">
        <f t="shared" si="8"/>
        <v>4.772201868</v>
      </c>
      <c r="X11" s="108">
        <f t="shared" si="9"/>
        <v>92.30341734</v>
      </c>
      <c r="Y11" s="93">
        <f t="shared" si="10"/>
        <v>-0.00002208859825</v>
      </c>
      <c r="Z11" s="104">
        <f t="shared" si="11"/>
        <v>0</v>
      </c>
      <c r="AA11" s="104">
        <f t="shared" si="12"/>
        <v>0</v>
      </c>
      <c r="AB11" s="104">
        <f t="shared" si="13"/>
        <v>0</v>
      </c>
      <c r="AC11" s="104">
        <f t="shared" si="14"/>
        <v>0</v>
      </c>
      <c r="AD11" s="105">
        <f t="shared" si="15"/>
        <v>0</v>
      </c>
      <c r="AE11" s="109"/>
      <c r="AF11" s="109"/>
      <c r="AG11" s="109"/>
      <c r="AH11" s="104">
        <f t="shared" si="16"/>
        <v>0</v>
      </c>
      <c r="AI11" s="104">
        <f t="shared" si="17"/>
        <v>0</v>
      </c>
      <c r="AJ11" s="95" t="str">
        <f>IF(Pedido!I21="ATENDE QTD. MÍNIMA",Pedido!H21,"")</f>
        <v/>
      </c>
      <c r="AK11" s="110">
        <f t="shared" si="18"/>
        <v>0</v>
      </c>
      <c r="AL11" s="115"/>
      <c r="AM11" s="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ht="15.75" customHeight="1">
      <c r="A12" s="98" t="s">
        <v>371</v>
      </c>
      <c r="B12" s="99"/>
      <c r="C12" s="100"/>
      <c r="D12" s="100"/>
      <c r="E12" s="102" t="s">
        <v>403</v>
      </c>
      <c r="F12" s="103">
        <v>14.0</v>
      </c>
      <c r="G12" s="102" t="s">
        <v>68</v>
      </c>
      <c r="H12" s="102" t="s">
        <v>402</v>
      </c>
      <c r="I12" s="102" t="s">
        <v>41</v>
      </c>
      <c r="J12" s="102" t="s">
        <v>42</v>
      </c>
      <c r="K12" s="102" t="s">
        <v>35</v>
      </c>
      <c r="L12" s="199">
        <v>1.0</v>
      </c>
      <c r="M12" s="200"/>
      <c r="N12" s="87">
        <v>66.40299105000001</v>
      </c>
      <c r="O12" s="111">
        <f t="shared" si="1"/>
        <v>66.39501105</v>
      </c>
      <c r="P12" s="104">
        <f t="shared" si="2"/>
        <v>10.64723895</v>
      </c>
      <c r="Q12" s="104">
        <f t="shared" si="3"/>
        <v>77.04225</v>
      </c>
      <c r="R12" s="104">
        <f t="shared" si="4"/>
        <v>2.38275</v>
      </c>
      <c r="S12" s="105">
        <f t="shared" si="5"/>
        <v>79.425</v>
      </c>
      <c r="T12" s="104">
        <f t="shared" si="6"/>
        <v>26.475</v>
      </c>
      <c r="U12" s="106">
        <v>105.9</v>
      </c>
      <c r="V12" s="106">
        <f t="shared" si="7"/>
        <v>42.36</v>
      </c>
      <c r="W12" s="107">
        <f t="shared" si="8"/>
        <v>5.773668</v>
      </c>
      <c r="X12" s="108">
        <f t="shared" si="9"/>
        <v>111.673668</v>
      </c>
      <c r="Y12" s="93">
        <f t="shared" si="10"/>
        <v>0.00798</v>
      </c>
      <c r="Z12" s="104">
        <f t="shared" si="11"/>
        <v>0</v>
      </c>
      <c r="AA12" s="104">
        <f t="shared" si="12"/>
        <v>0</v>
      </c>
      <c r="AB12" s="104">
        <f t="shared" si="13"/>
        <v>0</v>
      </c>
      <c r="AC12" s="104">
        <f t="shared" si="14"/>
        <v>0</v>
      </c>
      <c r="AD12" s="105">
        <f t="shared" si="15"/>
        <v>0</v>
      </c>
      <c r="AE12" s="109"/>
      <c r="AF12" s="109"/>
      <c r="AG12" s="109"/>
      <c r="AH12" s="104">
        <f t="shared" si="16"/>
        <v>0</v>
      </c>
      <c r="AI12" s="104">
        <f t="shared" si="17"/>
        <v>0</v>
      </c>
      <c r="AJ12" s="95" t="str">
        <f>IF(Pedido!I22="ATENDE QTD. MÍNIMA",Pedido!H22,"")</f>
        <v/>
      </c>
      <c r="AK12" s="110">
        <f t="shared" si="18"/>
        <v>0</v>
      </c>
      <c r="AL12" s="6"/>
      <c r="AM12" s="6"/>
      <c r="AN12" s="6"/>
      <c r="AO12" s="6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</row>
    <row r="13" ht="15.75" customHeight="1">
      <c r="A13" s="98" t="s">
        <v>371</v>
      </c>
      <c r="B13" s="99"/>
      <c r="C13" s="100"/>
      <c r="D13" s="100"/>
      <c r="E13" s="102" t="s">
        <v>405</v>
      </c>
      <c r="F13" s="103">
        <v>15.0</v>
      </c>
      <c r="G13" s="102" t="s">
        <v>70</v>
      </c>
      <c r="H13" s="102" t="s">
        <v>69</v>
      </c>
      <c r="I13" s="102" t="s">
        <v>45</v>
      </c>
      <c r="J13" s="102" t="s">
        <v>34</v>
      </c>
      <c r="K13" s="102" t="s">
        <v>57</v>
      </c>
      <c r="L13" s="199">
        <v>0.2</v>
      </c>
      <c r="M13" s="200"/>
      <c r="N13" s="87">
        <v>199.20897315000002</v>
      </c>
      <c r="O13" s="111">
        <f t="shared" si="1"/>
        <v>199.2101115</v>
      </c>
      <c r="P13" s="104">
        <f t="shared" si="2"/>
        <v>31.94573847</v>
      </c>
      <c r="Q13" s="104">
        <f t="shared" si="3"/>
        <v>231.15585</v>
      </c>
      <c r="R13" s="104">
        <f t="shared" si="4"/>
        <v>7.14915</v>
      </c>
      <c r="S13" s="105">
        <f t="shared" si="5"/>
        <v>238.305</v>
      </c>
      <c r="T13" s="104">
        <f t="shared" si="6"/>
        <v>79.435</v>
      </c>
      <c r="U13" s="106">
        <v>317.74</v>
      </c>
      <c r="V13" s="106">
        <f t="shared" si="7"/>
        <v>127.096</v>
      </c>
      <c r="W13" s="107">
        <f t="shared" si="8"/>
        <v>17.3231848</v>
      </c>
      <c r="X13" s="108">
        <f t="shared" si="9"/>
        <v>335.0631848</v>
      </c>
      <c r="Y13" s="93">
        <f t="shared" si="10"/>
        <v>-0.00113838</v>
      </c>
      <c r="Z13" s="104">
        <f t="shared" si="11"/>
        <v>0</v>
      </c>
      <c r="AA13" s="104">
        <f t="shared" si="12"/>
        <v>0</v>
      </c>
      <c r="AB13" s="104">
        <f t="shared" si="13"/>
        <v>0</v>
      </c>
      <c r="AC13" s="104">
        <f t="shared" si="14"/>
        <v>0</v>
      </c>
      <c r="AD13" s="105">
        <f t="shared" si="15"/>
        <v>0</v>
      </c>
      <c r="AE13" s="109"/>
      <c r="AF13" s="109"/>
      <c r="AG13" s="109"/>
      <c r="AH13" s="104">
        <f t="shared" si="16"/>
        <v>0</v>
      </c>
      <c r="AI13" s="104">
        <f t="shared" si="17"/>
        <v>0</v>
      </c>
      <c r="AJ13" s="95" t="str">
        <f>IF(Pedido!I23="ATENDE QTD. MÍNIMA",Pedido!H23,"")</f>
        <v/>
      </c>
      <c r="AK13" s="110">
        <f t="shared" si="18"/>
        <v>0</v>
      </c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ht="15.75" customHeight="1">
      <c r="A14" s="98" t="s">
        <v>371</v>
      </c>
      <c r="B14" s="99"/>
      <c r="C14" s="100"/>
      <c r="D14" s="100"/>
      <c r="E14" s="102" t="s">
        <v>407</v>
      </c>
      <c r="F14" s="103">
        <v>16.0</v>
      </c>
      <c r="G14" s="102" t="s">
        <v>409</v>
      </c>
      <c r="H14" s="102" t="s">
        <v>71</v>
      </c>
      <c r="I14" s="102" t="s">
        <v>45</v>
      </c>
      <c r="J14" s="102" t="s">
        <v>34</v>
      </c>
      <c r="K14" s="102" t="s">
        <v>73</v>
      </c>
      <c r="L14" s="199">
        <v>5.0</v>
      </c>
      <c r="M14" s="200"/>
      <c r="N14" s="87">
        <v>6.640299105</v>
      </c>
      <c r="O14" s="111">
        <f t="shared" si="1"/>
        <v>6.639501105</v>
      </c>
      <c r="P14" s="104">
        <f t="shared" si="2"/>
        <v>1.064723895</v>
      </c>
      <c r="Q14" s="104">
        <f t="shared" si="3"/>
        <v>7.704225</v>
      </c>
      <c r="R14" s="104">
        <f t="shared" si="4"/>
        <v>0.238275</v>
      </c>
      <c r="S14" s="105">
        <f t="shared" si="5"/>
        <v>7.9425</v>
      </c>
      <c r="T14" s="104">
        <f t="shared" si="6"/>
        <v>2.6475</v>
      </c>
      <c r="U14" s="106">
        <v>10.59</v>
      </c>
      <c r="V14" s="106">
        <f t="shared" si="7"/>
        <v>4.236</v>
      </c>
      <c r="W14" s="107">
        <f t="shared" si="8"/>
        <v>0.5773668</v>
      </c>
      <c r="X14" s="108">
        <f t="shared" si="9"/>
        <v>11.1673668</v>
      </c>
      <c r="Y14" s="93">
        <f t="shared" si="10"/>
        <v>0.000798</v>
      </c>
      <c r="Z14" s="104">
        <f t="shared" si="11"/>
        <v>0</v>
      </c>
      <c r="AA14" s="104">
        <f t="shared" si="12"/>
        <v>0</v>
      </c>
      <c r="AB14" s="104">
        <f t="shared" si="13"/>
        <v>0</v>
      </c>
      <c r="AC14" s="104">
        <f t="shared" si="14"/>
        <v>0</v>
      </c>
      <c r="AD14" s="105">
        <f t="shared" si="15"/>
        <v>0</v>
      </c>
      <c r="AE14" s="109"/>
      <c r="AF14" s="109"/>
      <c r="AG14" s="109"/>
      <c r="AH14" s="104">
        <f t="shared" si="16"/>
        <v>0</v>
      </c>
      <c r="AI14" s="104">
        <f t="shared" si="17"/>
        <v>0</v>
      </c>
      <c r="AJ14" s="95" t="str">
        <f>IF(Pedido!I24="ATENDE QTD. MÍNIMA",Pedido!H24,"")</f>
        <v/>
      </c>
      <c r="AK14" s="110">
        <f t="shared" si="18"/>
        <v>0</v>
      </c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ht="15.75" customHeight="1">
      <c r="A15" s="98" t="s">
        <v>371</v>
      </c>
      <c r="B15" s="99"/>
      <c r="C15" s="100"/>
      <c r="D15" s="100"/>
      <c r="E15" s="102" t="s">
        <v>411</v>
      </c>
      <c r="F15" s="103">
        <v>17.0</v>
      </c>
      <c r="G15" s="102" t="s">
        <v>75</v>
      </c>
      <c r="H15" s="102" t="s">
        <v>410</v>
      </c>
      <c r="I15" s="102" t="s">
        <v>76</v>
      </c>
      <c r="J15" s="102" t="s">
        <v>66</v>
      </c>
      <c r="K15" s="102" t="s">
        <v>35</v>
      </c>
      <c r="L15" s="199">
        <v>0.5</v>
      </c>
      <c r="M15" s="200"/>
      <c r="N15" s="87">
        <v>199.20897315000002</v>
      </c>
      <c r="O15" s="111">
        <f t="shared" si="1"/>
        <v>199.2101115</v>
      </c>
      <c r="P15" s="104">
        <f t="shared" si="2"/>
        <v>31.94573847</v>
      </c>
      <c r="Q15" s="104">
        <f t="shared" si="3"/>
        <v>231.15585</v>
      </c>
      <c r="R15" s="104">
        <f t="shared" si="4"/>
        <v>7.14915</v>
      </c>
      <c r="S15" s="105">
        <f t="shared" si="5"/>
        <v>238.305</v>
      </c>
      <c r="T15" s="104">
        <f t="shared" si="6"/>
        <v>79.435</v>
      </c>
      <c r="U15" s="106">
        <v>317.74</v>
      </c>
      <c r="V15" s="106">
        <f t="shared" si="7"/>
        <v>127.096</v>
      </c>
      <c r="W15" s="107">
        <f t="shared" si="8"/>
        <v>17.3231848</v>
      </c>
      <c r="X15" s="108">
        <f t="shared" si="9"/>
        <v>335.0631848</v>
      </c>
      <c r="Y15" s="93">
        <f t="shared" si="10"/>
        <v>-0.00113838</v>
      </c>
      <c r="Z15" s="104">
        <f t="shared" si="11"/>
        <v>0</v>
      </c>
      <c r="AA15" s="104">
        <f t="shared" si="12"/>
        <v>0</v>
      </c>
      <c r="AB15" s="104">
        <f t="shared" si="13"/>
        <v>0</v>
      </c>
      <c r="AC15" s="104">
        <f t="shared" si="14"/>
        <v>0</v>
      </c>
      <c r="AD15" s="105">
        <f t="shared" si="15"/>
        <v>0</v>
      </c>
      <c r="AE15" s="109"/>
      <c r="AF15" s="109"/>
      <c r="AG15" s="109"/>
      <c r="AH15" s="104">
        <f t="shared" si="16"/>
        <v>0</v>
      </c>
      <c r="AI15" s="104">
        <f t="shared" si="17"/>
        <v>0</v>
      </c>
      <c r="AJ15" s="95" t="str">
        <f>IF(Pedido!I25="ATENDE QTD. MÍNIMA",Pedido!H25,"")</f>
        <v/>
      </c>
      <c r="AK15" s="110">
        <f t="shared" si="18"/>
        <v>0</v>
      </c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ht="15.75" customHeight="1">
      <c r="A16" s="98" t="s">
        <v>371</v>
      </c>
      <c r="B16" s="99"/>
      <c r="C16" s="100"/>
      <c r="D16" s="116" t="s">
        <v>372</v>
      </c>
      <c r="E16" s="102" t="s">
        <v>413</v>
      </c>
      <c r="F16" s="103">
        <v>18.0</v>
      </c>
      <c r="G16" s="102" t="s">
        <v>78</v>
      </c>
      <c r="H16" s="102" t="s">
        <v>77</v>
      </c>
      <c r="I16" s="102" t="s">
        <v>375</v>
      </c>
      <c r="J16" s="102" t="s">
        <v>30</v>
      </c>
      <c r="K16" s="117" t="s">
        <v>415</v>
      </c>
      <c r="L16" s="199">
        <v>1.0</v>
      </c>
      <c r="M16" s="200"/>
      <c r="N16" s="87">
        <v>10.975701</v>
      </c>
      <c r="O16" s="113">
        <f t="shared" si="1"/>
        <v>10.97570542</v>
      </c>
      <c r="P16" s="104">
        <f t="shared" si="2"/>
        <v>1.760086434</v>
      </c>
      <c r="Q16" s="104">
        <f t="shared" si="3"/>
        <v>12.73579185</v>
      </c>
      <c r="R16" s="104">
        <f t="shared" si="4"/>
        <v>0.3938904696</v>
      </c>
      <c r="S16" s="105">
        <f t="shared" si="5"/>
        <v>13.12968232</v>
      </c>
      <c r="T16" s="104">
        <f t="shared" si="6"/>
        <v>4.376560774</v>
      </c>
      <c r="U16" s="106">
        <v>17.506243095</v>
      </c>
      <c r="V16" s="106">
        <f t="shared" si="7"/>
        <v>7.002497238</v>
      </c>
      <c r="W16" s="107">
        <f t="shared" si="8"/>
        <v>0.9544403735</v>
      </c>
      <c r="X16" s="108">
        <f t="shared" si="9"/>
        <v>18.46068347</v>
      </c>
      <c r="Y16" s="93">
        <f t="shared" si="10"/>
        <v>-0.000004417719651</v>
      </c>
      <c r="Z16" s="104">
        <f t="shared" si="11"/>
        <v>0</v>
      </c>
      <c r="AA16" s="104">
        <f t="shared" si="12"/>
        <v>0</v>
      </c>
      <c r="AB16" s="104">
        <f t="shared" si="13"/>
        <v>0</v>
      </c>
      <c r="AC16" s="104">
        <f t="shared" si="14"/>
        <v>0</v>
      </c>
      <c r="AD16" s="105">
        <f t="shared" si="15"/>
        <v>0</v>
      </c>
      <c r="AE16" s="109"/>
      <c r="AF16" s="109"/>
      <c r="AG16" s="109"/>
      <c r="AH16" s="104">
        <f t="shared" si="16"/>
        <v>0</v>
      </c>
      <c r="AI16" s="104">
        <f t="shared" si="17"/>
        <v>0</v>
      </c>
      <c r="AJ16" s="95" t="str">
        <f>IF(Pedido!I26="ATENDE QTD. MÍNIMA",Pedido!H26,"")</f>
        <v/>
      </c>
      <c r="AK16" s="110">
        <f t="shared" si="18"/>
        <v>0</v>
      </c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ht="15.75" customHeight="1">
      <c r="A17" s="98" t="s">
        <v>371</v>
      </c>
      <c r="B17" s="99"/>
      <c r="C17" s="100"/>
      <c r="D17" s="116" t="s">
        <v>372</v>
      </c>
      <c r="E17" s="102" t="s">
        <v>417</v>
      </c>
      <c r="F17" s="103">
        <v>19.0</v>
      </c>
      <c r="G17" s="102" t="s">
        <v>80</v>
      </c>
      <c r="H17" s="102" t="s">
        <v>416</v>
      </c>
      <c r="I17" s="102" t="s">
        <v>375</v>
      </c>
      <c r="J17" s="102" t="s">
        <v>30</v>
      </c>
      <c r="K17" s="117" t="s">
        <v>415</v>
      </c>
      <c r="L17" s="199">
        <v>0.5</v>
      </c>
      <c r="M17" s="200"/>
      <c r="N17" s="87">
        <v>65.854206</v>
      </c>
      <c r="O17" s="113">
        <f t="shared" si="1"/>
        <v>65.84735119</v>
      </c>
      <c r="P17" s="104">
        <f t="shared" si="2"/>
        <v>10.5594151</v>
      </c>
      <c r="Q17" s="104">
        <f t="shared" si="3"/>
        <v>76.40676629</v>
      </c>
      <c r="R17" s="104">
        <f t="shared" si="4"/>
        <v>2.363095865</v>
      </c>
      <c r="S17" s="105">
        <f t="shared" si="5"/>
        <v>78.76986215</v>
      </c>
      <c r="T17" s="104">
        <f t="shared" si="6"/>
        <v>26.25662072</v>
      </c>
      <c r="U17" s="106">
        <v>105.02648286899999</v>
      </c>
      <c r="V17" s="106">
        <f t="shared" si="7"/>
        <v>42.01059315</v>
      </c>
      <c r="W17" s="107">
        <f t="shared" si="8"/>
        <v>5.726043846</v>
      </c>
      <c r="X17" s="108">
        <f t="shared" si="9"/>
        <v>110.7525267</v>
      </c>
      <c r="Y17" s="93">
        <f t="shared" si="10"/>
        <v>0.006854813693</v>
      </c>
      <c r="Z17" s="104">
        <f t="shared" si="11"/>
        <v>0</v>
      </c>
      <c r="AA17" s="104">
        <f t="shared" si="12"/>
        <v>0</v>
      </c>
      <c r="AB17" s="104">
        <f t="shared" si="13"/>
        <v>0</v>
      </c>
      <c r="AC17" s="104">
        <f t="shared" si="14"/>
        <v>0</v>
      </c>
      <c r="AD17" s="105">
        <f t="shared" si="15"/>
        <v>0</v>
      </c>
      <c r="AE17" s="109"/>
      <c r="AF17" s="109"/>
      <c r="AG17" s="109"/>
      <c r="AH17" s="104">
        <f t="shared" si="16"/>
        <v>0</v>
      </c>
      <c r="AI17" s="104">
        <f t="shared" si="17"/>
        <v>0</v>
      </c>
      <c r="AJ17" s="95" t="str">
        <f>IF(Pedido!I27="ATENDE QTD. MÍNIMA",Pedido!H27,"")</f>
        <v/>
      </c>
      <c r="AK17" s="110">
        <f t="shared" si="18"/>
        <v>0</v>
      </c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ht="15.75" customHeight="1">
      <c r="A18" s="98" t="s">
        <v>371</v>
      </c>
      <c r="B18" s="99"/>
      <c r="C18" s="100"/>
      <c r="D18" s="100"/>
      <c r="E18" s="102" t="s">
        <v>419</v>
      </c>
      <c r="F18" s="103">
        <v>20.0</v>
      </c>
      <c r="G18" s="102" t="s">
        <v>82</v>
      </c>
      <c r="H18" s="102" t="s">
        <v>81</v>
      </c>
      <c r="I18" s="102" t="s">
        <v>63</v>
      </c>
      <c r="J18" s="102" t="s">
        <v>34</v>
      </c>
      <c r="K18" s="117" t="s">
        <v>421</v>
      </c>
      <c r="L18" s="199">
        <v>0.2</v>
      </c>
      <c r="M18" s="200"/>
      <c r="N18" s="87">
        <v>109.75701000000001</v>
      </c>
      <c r="O18" s="113">
        <f t="shared" si="1"/>
        <v>109.7501729</v>
      </c>
      <c r="P18" s="104">
        <f t="shared" si="2"/>
        <v>17.59976084</v>
      </c>
      <c r="Q18" s="104">
        <f t="shared" si="3"/>
        <v>127.3499337</v>
      </c>
      <c r="R18" s="104">
        <f t="shared" si="4"/>
        <v>3.938657743</v>
      </c>
      <c r="S18" s="105">
        <f t="shared" si="5"/>
        <v>131.2885914</v>
      </c>
      <c r="T18" s="104">
        <f t="shared" si="6"/>
        <v>43.76286381</v>
      </c>
      <c r="U18" s="106">
        <v>175.051455249</v>
      </c>
      <c r="V18" s="106">
        <f t="shared" si="7"/>
        <v>70.0205821</v>
      </c>
      <c r="W18" s="107">
        <f t="shared" si="8"/>
        <v>9.54380534</v>
      </c>
      <c r="X18" s="108">
        <f t="shared" si="9"/>
        <v>184.5952606</v>
      </c>
      <c r="Y18" s="93">
        <f t="shared" si="10"/>
        <v>0.006837142815</v>
      </c>
      <c r="Z18" s="104">
        <f t="shared" si="11"/>
        <v>0</v>
      </c>
      <c r="AA18" s="104">
        <f t="shared" si="12"/>
        <v>0</v>
      </c>
      <c r="AB18" s="104">
        <f t="shared" si="13"/>
        <v>0</v>
      </c>
      <c r="AC18" s="104">
        <f t="shared" si="14"/>
        <v>0</v>
      </c>
      <c r="AD18" s="105">
        <f t="shared" si="15"/>
        <v>0</v>
      </c>
      <c r="AE18" s="109"/>
      <c r="AF18" s="109"/>
      <c r="AG18" s="109"/>
      <c r="AH18" s="104">
        <f t="shared" si="16"/>
        <v>0</v>
      </c>
      <c r="AI18" s="104">
        <f t="shared" si="17"/>
        <v>0</v>
      </c>
      <c r="AJ18" s="95" t="str">
        <f>IF(Pedido!I28="ATENDE QTD. MÍNIMA",Pedido!H28,"")</f>
        <v/>
      </c>
      <c r="AK18" s="110">
        <f t="shared" si="18"/>
        <v>0</v>
      </c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ht="15.75" customHeight="1">
      <c r="A19" s="98" t="s">
        <v>371</v>
      </c>
      <c r="B19" s="99"/>
      <c r="C19" s="100"/>
      <c r="D19" s="100"/>
      <c r="E19" s="102" t="s">
        <v>422</v>
      </c>
      <c r="F19" s="103">
        <v>21.0</v>
      </c>
      <c r="G19" s="102" t="s">
        <v>84</v>
      </c>
      <c r="H19" s="102" t="s">
        <v>83</v>
      </c>
      <c r="I19" s="102" t="s">
        <v>63</v>
      </c>
      <c r="J19" s="102" t="s">
        <v>34</v>
      </c>
      <c r="K19" s="102" t="s">
        <v>73</v>
      </c>
      <c r="L19" s="199">
        <v>1.0</v>
      </c>
      <c r="M19" s="200"/>
      <c r="N19" s="87">
        <v>25.0</v>
      </c>
      <c r="O19" s="113">
        <f t="shared" si="1"/>
        <v>24.99836514</v>
      </c>
      <c r="P19" s="104">
        <f t="shared" si="2"/>
        <v>4.008788654</v>
      </c>
      <c r="Q19" s="104">
        <f t="shared" si="3"/>
        <v>29.00715379</v>
      </c>
      <c r="R19" s="104">
        <f t="shared" si="4"/>
        <v>0.8971284679</v>
      </c>
      <c r="S19" s="105">
        <f t="shared" si="5"/>
        <v>29.90428226</v>
      </c>
      <c r="T19" s="104">
        <f t="shared" si="6"/>
        <v>9.968094088</v>
      </c>
      <c r="U19" s="118">
        <v>39.872376350383966</v>
      </c>
      <c r="V19" s="106">
        <f t="shared" si="7"/>
        <v>15.94895054</v>
      </c>
      <c r="W19" s="107">
        <f t="shared" si="8"/>
        <v>2.173841959</v>
      </c>
      <c r="X19" s="108">
        <f t="shared" si="9"/>
        <v>42.04621831</v>
      </c>
      <c r="Y19" s="93">
        <f t="shared" si="10"/>
        <v>0.001634859551</v>
      </c>
      <c r="Z19" s="104">
        <f t="shared" si="11"/>
        <v>0</v>
      </c>
      <c r="AA19" s="104">
        <f t="shared" si="12"/>
        <v>0</v>
      </c>
      <c r="AB19" s="104">
        <f t="shared" si="13"/>
        <v>0</v>
      </c>
      <c r="AC19" s="104">
        <f t="shared" si="14"/>
        <v>0</v>
      </c>
      <c r="AD19" s="105">
        <f t="shared" si="15"/>
        <v>0</v>
      </c>
      <c r="AE19" s="109"/>
      <c r="AF19" s="109"/>
      <c r="AG19" s="109"/>
      <c r="AH19" s="104">
        <f t="shared" si="16"/>
        <v>0</v>
      </c>
      <c r="AI19" s="104">
        <f t="shared" si="17"/>
        <v>0</v>
      </c>
      <c r="AJ19" s="95" t="str">
        <f>IF(Pedido!I29="ATENDE QTD. MÍNIMA",Pedido!H29,"")</f>
        <v/>
      </c>
      <c r="AK19" s="110">
        <f t="shared" si="18"/>
        <v>0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ht="15.75" customHeight="1">
      <c r="A20" s="98" t="s">
        <v>371</v>
      </c>
      <c r="B20" s="99"/>
      <c r="C20" s="100"/>
      <c r="D20" s="100"/>
      <c r="E20" s="102" t="s">
        <v>424</v>
      </c>
      <c r="F20" s="103">
        <v>22.0</v>
      </c>
      <c r="G20" s="102" t="s">
        <v>86</v>
      </c>
      <c r="H20" s="102" t="s">
        <v>85</v>
      </c>
      <c r="I20" s="102" t="s">
        <v>63</v>
      </c>
      <c r="J20" s="102" t="s">
        <v>42</v>
      </c>
      <c r="K20" s="102" t="s">
        <v>73</v>
      </c>
      <c r="L20" s="199">
        <v>1.0</v>
      </c>
      <c r="M20" s="200"/>
      <c r="N20" s="87">
        <v>25.0</v>
      </c>
      <c r="O20" s="104">
        <f t="shared" si="1"/>
        <v>24.99687527</v>
      </c>
      <c r="P20" s="104">
        <f t="shared" si="2"/>
        <v>4.008549735</v>
      </c>
      <c r="Q20" s="104">
        <f t="shared" si="3"/>
        <v>29.005425</v>
      </c>
      <c r="R20" s="104">
        <f t="shared" si="4"/>
        <v>0.897075</v>
      </c>
      <c r="S20" s="105">
        <f t="shared" si="5"/>
        <v>29.9025</v>
      </c>
      <c r="T20" s="104">
        <f t="shared" si="6"/>
        <v>9.9675</v>
      </c>
      <c r="U20" s="106">
        <v>39.87</v>
      </c>
      <c r="V20" s="106">
        <f t="shared" si="7"/>
        <v>15.948</v>
      </c>
      <c r="W20" s="107">
        <f t="shared" si="8"/>
        <v>2.1737124</v>
      </c>
      <c r="X20" s="108">
        <f t="shared" si="9"/>
        <v>42.0437124</v>
      </c>
      <c r="Y20" s="93">
        <f t="shared" si="10"/>
        <v>0.003124735</v>
      </c>
      <c r="Z20" s="104">
        <f t="shared" si="11"/>
        <v>0</v>
      </c>
      <c r="AA20" s="104">
        <f t="shared" si="12"/>
        <v>0</v>
      </c>
      <c r="AB20" s="104">
        <f t="shared" si="13"/>
        <v>0</v>
      </c>
      <c r="AC20" s="104">
        <f t="shared" si="14"/>
        <v>0</v>
      </c>
      <c r="AD20" s="105">
        <f t="shared" si="15"/>
        <v>0</v>
      </c>
      <c r="AE20" s="109"/>
      <c r="AF20" s="109"/>
      <c r="AG20" s="109"/>
      <c r="AH20" s="104">
        <f t="shared" si="16"/>
        <v>0</v>
      </c>
      <c r="AI20" s="104">
        <f t="shared" si="17"/>
        <v>0</v>
      </c>
      <c r="AJ20" s="95" t="str">
        <f>IF(Pedido!I30="ATENDE QTD. MÍNIMA",Pedido!H30,"")</f>
        <v/>
      </c>
      <c r="AK20" s="110">
        <f t="shared" si="18"/>
        <v>0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ht="15.75" customHeight="1">
      <c r="A21" s="98" t="s">
        <v>371</v>
      </c>
      <c r="B21" s="99"/>
      <c r="C21" s="100"/>
      <c r="D21" s="100"/>
      <c r="E21" s="102" t="s">
        <v>426</v>
      </c>
      <c r="F21" s="103">
        <v>23.0</v>
      </c>
      <c r="G21" s="102" t="s">
        <v>88</v>
      </c>
      <c r="H21" s="102" t="s">
        <v>87</v>
      </c>
      <c r="I21" s="102" t="s">
        <v>41</v>
      </c>
      <c r="J21" s="102" t="s">
        <v>34</v>
      </c>
      <c r="K21" s="102" t="s">
        <v>35</v>
      </c>
      <c r="L21" s="199">
        <v>1.0</v>
      </c>
      <c r="M21" s="200"/>
      <c r="N21" s="87">
        <v>59.762691945000014</v>
      </c>
      <c r="O21" s="111">
        <f t="shared" si="1"/>
        <v>59.75738298</v>
      </c>
      <c r="P21" s="104">
        <f t="shared" si="2"/>
        <v>9.582815418</v>
      </c>
      <c r="Q21" s="104">
        <f t="shared" si="3"/>
        <v>69.34019839</v>
      </c>
      <c r="R21" s="104">
        <f t="shared" si="4"/>
        <v>2.144542218</v>
      </c>
      <c r="S21" s="105">
        <f t="shared" si="5"/>
        <v>71.48474061</v>
      </c>
      <c r="T21" s="104">
        <f t="shared" si="6"/>
        <v>23.82824687</v>
      </c>
      <c r="U21" s="106">
        <v>95.312987484</v>
      </c>
      <c r="V21" s="106">
        <f t="shared" si="7"/>
        <v>38.12519499</v>
      </c>
      <c r="W21" s="107">
        <f t="shared" si="8"/>
        <v>5.196464078</v>
      </c>
      <c r="X21" s="108">
        <f t="shared" si="9"/>
        <v>100.5094516</v>
      </c>
      <c r="Y21" s="93">
        <f t="shared" si="10"/>
        <v>0.005308968525</v>
      </c>
      <c r="Z21" s="104">
        <f t="shared" si="11"/>
        <v>0</v>
      </c>
      <c r="AA21" s="104">
        <f t="shared" si="12"/>
        <v>0</v>
      </c>
      <c r="AB21" s="104">
        <f t="shared" si="13"/>
        <v>0</v>
      </c>
      <c r="AC21" s="104">
        <f t="shared" si="14"/>
        <v>0</v>
      </c>
      <c r="AD21" s="105">
        <f t="shared" si="15"/>
        <v>0</v>
      </c>
      <c r="AE21" s="109"/>
      <c r="AF21" s="109"/>
      <c r="AG21" s="109"/>
      <c r="AH21" s="104">
        <f t="shared" si="16"/>
        <v>0</v>
      </c>
      <c r="AI21" s="104">
        <f t="shared" si="17"/>
        <v>0</v>
      </c>
      <c r="AJ21" s="95" t="str">
        <f>IF(Pedido!I31="ATENDE QTD. MÍNIMA",Pedido!H31,"")</f>
        <v/>
      </c>
      <c r="AK21" s="110">
        <f t="shared" si="18"/>
        <v>0</v>
      </c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ht="15.75" customHeight="1">
      <c r="A22" s="98" t="s">
        <v>371</v>
      </c>
      <c r="B22" s="99"/>
      <c r="C22" s="100"/>
      <c r="D22" s="100"/>
      <c r="E22" s="102" t="s">
        <v>428</v>
      </c>
      <c r="F22" s="103">
        <v>24.0</v>
      </c>
      <c r="G22" s="102" t="s">
        <v>90</v>
      </c>
      <c r="H22" s="102" t="s">
        <v>89</v>
      </c>
      <c r="I22" s="102" t="s">
        <v>41</v>
      </c>
      <c r="J22" s="102" t="s">
        <v>34</v>
      </c>
      <c r="K22" s="102" t="s">
        <v>35</v>
      </c>
      <c r="L22" s="199">
        <v>3.0</v>
      </c>
      <c r="M22" s="200"/>
      <c r="N22" s="87">
        <v>79.68358926</v>
      </c>
      <c r="O22" s="104">
        <f t="shared" si="1"/>
        <v>79.68362133</v>
      </c>
      <c r="P22" s="104">
        <f t="shared" si="2"/>
        <v>12.77822751</v>
      </c>
      <c r="Q22" s="104">
        <f t="shared" si="3"/>
        <v>92.46184884</v>
      </c>
      <c r="R22" s="104">
        <f t="shared" si="4"/>
        <v>2.85964481</v>
      </c>
      <c r="S22" s="105">
        <f t="shared" si="5"/>
        <v>95.32149365</v>
      </c>
      <c r="T22" s="104">
        <f t="shared" si="6"/>
        <v>31.77383122</v>
      </c>
      <c r="U22" s="106">
        <v>127.09532486970002</v>
      </c>
      <c r="V22" s="106">
        <f t="shared" si="7"/>
        <v>50.83812995</v>
      </c>
      <c r="W22" s="107">
        <f t="shared" si="8"/>
        <v>6.929237112</v>
      </c>
      <c r="X22" s="108">
        <f t="shared" si="9"/>
        <v>134.024562</v>
      </c>
      <c r="Y22" s="93">
        <f t="shared" si="10"/>
        <v>-0.00003207264469</v>
      </c>
      <c r="Z22" s="104">
        <f t="shared" si="11"/>
        <v>0</v>
      </c>
      <c r="AA22" s="104">
        <f t="shared" si="12"/>
        <v>0</v>
      </c>
      <c r="AB22" s="104">
        <f t="shared" si="13"/>
        <v>0</v>
      </c>
      <c r="AC22" s="104">
        <f t="shared" si="14"/>
        <v>0</v>
      </c>
      <c r="AD22" s="105">
        <f t="shared" si="15"/>
        <v>0</v>
      </c>
      <c r="AE22" s="109"/>
      <c r="AF22" s="109"/>
      <c r="AG22" s="109"/>
      <c r="AH22" s="104">
        <f t="shared" si="16"/>
        <v>0</v>
      </c>
      <c r="AI22" s="104">
        <f t="shared" si="17"/>
        <v>0</v>
      </c>
      <c r="AJ22" s="95" t="str">
        <f>IF(Pedido!I32="ATENDE QTD. MÍNIMA",Pedido!H32,"")</f>
        <v/>
      </c>
      <c r="AK22" s="110">
        <f t="shared" si="18"/>
        <v>0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ht="15.75" customHeight="1">
      <c r="A23" s="98" t="s">
        <v>371</v>
      </c>
      <c r="B23" s="119" t="s">
        <v>431</v>
      </c>
      <c r="C23" s="100"/>
      <c r="D23" s="101"/>
      <c r="E23" s="101"/>
      <c r="F23" s="103">
        <v>130.0</v>
      </c>
      <c r="G23" s="102" t="s">
        <v>433</v>
      </c>
      <c r="H23" s="112" t="s">
        <v>430</v>
      </c>
      <c r="I23" s="102" t="s">
        <v>435</v>
      </c>
      <c r="J23" s="120" t="s">
        <v>42</v>
      </c>
      <c r="K23" s="117" t="s">
        <v>415</v>
      </c>
      <c r="L23" s="199">
        <v>0.5</v>
      </c>
      <c r="M23" s="200"/>
      <c r="N23" s="87">
        <v>219.51402000000002</v>
      </c>
      <c r="O23" s="104">
        <f t="shared" si="1"/>
        <v>219.518709</v>
      </c>
      <c r="P23" s="104">
        <f t="shared" si="2"/>
        <v>35.20246645</v>
      </c>
      <c r="Q23" s="104">
        <f t="shared" si="3"/>
        <v>254.7211755</v>
      </c>
      <c r="R23" s="104">
        <f t="shared" si="4"/>
        <v>7.8779745</v>
      </c>
      <c r="S23" s="105">
        <f t="shared" si="5"/>
        <v>262.59915</v>
      </c>
      <c r="T23" s="104">
        <f t="shared" si="6"/>
        <v>87.53305</v>
      </c>
      <c r="U23" s="106">
        <v>350.1322</v>
      </c>
      <c r="V23" s="106">
        <f t="shared" si="7"/>
        <v>140.05288</v>
      </c>
      <c r="W23" s="107">
        <f t="shared" si="8"/>
        <v>19.08920754</v>
      </c>
      <c r="X23" s="108">
        <f t="shared" si="9"/>
        <v>369.2214075</v>
      </c>
      <c r="Y23" s="93">
        <f t="shared" si="10"/>
        <v>-0.0046890459</v>
      </c>
      <c r="Z23" s="104">
        <f t="shared" si="11"/>
        <v>0</v>
      </c>
      <c r="AA23" s="104">
        <f t="shared" si="12"/>
        <v>0</v>
      </c>
      <c r="AB23" s="104">
        <f t="shared" si="13"/>
        <v>0</v>
      </c>
      <c r="AC23" s="104">
        <f t="shared" si="14"/>
        <v>0</v>
      </c>
      <c r="AD23" s="105">
        <f t="shared" si="15"/>
        <v>0</v>
      </c>
      <c r="AE23" s="109"/>
      <c r="AF23" s="109"/>
      <c r="AG23" s="109"/>
      <c r="AH23" s="104">
        <f t="shared" si="16"/>
        <v>0</v>
      </c>
      <c r="AI23" s="104">
        <f t="shared" si="17"/>
        <v>0</v>
      </c>
      <c r="AJ23" s="95" t="str">
        <f>IF(Pedido!I33="ATENDE QTD. MÍNIMA",Pedido!H33,"")</f>
        <v/>
      </c>
      <c r="AK23" s="110">
        <f t="shared" si="18"/>
        <v>0</v>
      </c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ht="15.75" customHeight="1">
      <c r="A24" s="98" t="s">
        <v>371</v>
      </c>
      <c r="B24" s="99"/>
      <c r="C24" s="100"/>
      <c r="D24" s="100"/>
      <c r="E24" s="102" t="s">
        <v>437</v>
      </c>
      <c r="F24" s="103">
        <v>25.0</v>
      </c>
      <c r="G24" s="81" t="s">
        <v>96</v>
      </c>
      <c r="H24" s="102" t="s">
        <v>436</v>
      </c>
      <c r="I24" s="102" t="s">
        <v>97</v>
      </c>
      <c r="J24" s="102" t="s">
        <v>94</v>
      </c>
      <c r="K24" s="102" t="s">
        <v>98</v>
      </c>
      <c r="L24" s="199">
        <v>3.0</v>
      </c>
      <c r="M24" s="200"/>
      <c r="N24" s="87">
        <v>66.40299105000001</v>
      </c>
      <c r="O24" s="111">
        <f t="shared" si="1"/>
        <v>66.39501105</v>
      </c>
      <c r="P24" s="104">
        <f t="shared" si="2"/>
        <v>10.64723895</v>
      </c>
      <c r="Q24" s="104">
        <f t="shared" si="3"/>
        <v>77.04225</v>
      </c>
      <c r="R24" s="104">
        <f t="shared" si="4"/>
        <v>2.38275</v>
      </c>
      <c r="S24" s="105">
        <f t="shared" si="5"/>
        <v>79.425</v>
      </c>
      <c r="T24" s="104">
        <f t="shared" si="6"/>
        <v>26.475</v>
      </c>
      <c r="U24" s="106">
        <v>105.9</v>
      </c>
      <c r="V24" s="106">
        <f t="shared" si="7"/>
        <v>42.36</v>
      </c>
      <c r="W24" s="107">
        <f t="shared" si="8"/>
        <v>5.773668</v>
      </c>
      <c r="X24" s="108">
        <f t="shared" si="9"/>
        <v>111.673668</v>
      </c>
      <c r="Y24" s="93">
        <f t="shared" si="10"/>
        <v>0.00798</v>
      </c>
      <c r="Z24" s="104">
        <f t="shared" si="11"/>
        <v>0</v>
      </c>
      <c r="AA24" s="104">
        <f t="shared" si="12"/>
        <v>0</v>
      </c>
      <c r="AB24" s="104">
        <f t="shared" si="13"/>
        <v>0</v>
      </c>
      <c r="AC24" s="104">
        <f t="shared" si="14"/>
        <v>0</v>
      </c>
      <c r="AD24" s="105">
        <f t="shared" si="15"/>
        <v>0</v>
      </c>
      <c r="AE24" s="109"/>
      <c r="AF24" s="109"/>
      <c r="AG24" s="109"/>
      <c r="AH24" s="104">
        <f t="shared" si="16"/>
        <v>0</v>
      </c>
      <c r="AI24" s="104">
        <f t="shared" si="17"/>
        <v>0</v>
      </c>
      <c r="AJ24" s="95" t="str">
        <f>IF(Pedido!I34="ATENDE QTD. MÍNIMA",Pedido!H34,"")</f>
        <v/>
      </c>
      <c r="AK24" s="110">
        <f t="shared" si="18"/>
        <v>0</v>
      </c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ht="15.75" customHeight="1">
      <c r="A25" s="98" t="s">
        <v>371</v>
      </c>
      <c r="B25" s="99"/>
      <c r="C25" s="100"/>
      <c r="D25" s="100"/>
      <c r="E25" s="102" t="s">
        <v>437</v>
      </c>
      <c r="F25" s="103" t="s">
        <v>441</v>
      </c>
      <c r="G25" s="102" t="s">
        <v>442</v>
      </c>
      <c r="H25" s="102" t="s">
        <v>440</v>
      </c>
      <c r="I25" s="102" t="s">
        <v>97</v>
      </c>
      <c r="J25" s="102" t="s">
        <v>94</v>
      </c>
      <c r="K25" s="102" t="s">
        <v>98</v>
      </c>
      <c r="L25" s="199">
        <v>3.0</v>
      </c>
      <c r="M25" s="200"/>
      <c r="N25" s="87">
        <v>66.40299105000001</v>
      </c>
      <c r="O25" s="111">
        <f t="shared" si="1"/>
        <v>66.39501105</v>
      </c>
      <c r="P25" s="104">
        <f t="shared" si="2"/>
        <v>10.64723895</v>
      </c>
      <c r="Q25" s="104">
        <f t="shared" si="3"/>
        <v>77.04225</v>
      </c>
      <c r="R25" s="104">
        <f t="shared" si="4"/>
        <v>2.38275</v>
      </c>
      <c r="S25" s="105">
        <f t="shared" si="5"/>
        <v>79.425</v>
      </c>
      <c r="T25" s="104">
        <f t="shared" si="6"/>
        <v>26.475</v>
      </c>
      <c r="U25" s="106">
        <v>105.9</v>
      </c>
      <c r="V25" s="106">
        <f t="shared" si="7"/>
        <v>42.36</v>
      </c>
      <c r="W25" s="107">
        <f t="shared" si="8"/>
        <v>5.773668</v>
      </c>
      <c r="X25" s="108">
        <f t="shared" si="9"/>
        <v>111.673668</v>
      </c>
      <c r="Y25" s="93">
        <f t="shared" si="10"/>
        <v>0.00798</v>
      </c>
      <c r="Z25" s="104">
        <f t="shared" si="11"/>
        <v>0</v>
      </c>
      <c r="AA25" s="104">
        <f t="shared" si="12"/>
        <v>0</v>
      </c>
      <c r="AB25" s="104">
        <f t="shared" si="13"/>
        <v>0</v>
      </c>
      <c r="AC25" s="104">
        <f t="shared" si="14"/>
        <v>0</v>
      </c>
      <c r="AD25" s="105">
        <f t="shared" si="15"/>
        <v>0</v>
      </c>
      <c r="AE25" s="109"/>
      <c r="AF25" s="109"/>
      <c r="AG25" s="109"/>
      <c r="AH25" s="104">
        <f t="shared" si="16"/>
        <v>0</v>
      </c>
      <c r="AI25" s="104">
        <f t="shared" si="17"/>
        <v>0</v>
      </c>
      <c r="AJ25" s="95" t="str">
        <f>IF(Pedido!I35="ATENDE QTD. MÍNIMA",Pedido!H35,"")</f>
        <v/>
      </c>
      <c r="AK25" s="110">
        <f t="shared" si="18"/>
        <v>0</v>
      </c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ht="15.75" customHeight="1">
      <c r="A26" s="98" t="s">
        <v>371</v>
      </c>
      <c r="B26" s="99"/>
      <c r="C26" s="100"/>
      <c r="D26" s="100"/>
      <c r="E26" s="102" t="s">
        <v>444</v>
      </c>
      <c r="F26" s="103">
        <v>26.0</v>
      </c>
      <c r="G26" s="102" t="s">
        <v>100</v>
      </c>
      <c r="H26" s="102" t="s">
        <v>443</v>
      </c>
      <c r="I26" s="102" t="s">
        <v>97</v>
      </c>
      <c r="J26" s="102" t="s">
        <v>94</v>
      </c>
      <c r="K26" s="102" t="s">
        <v>60</v>
      </c>
      <c r="L26" s="199">
        <v>3.0</v>
      </c>
      <c r="M26" s="200"/>
      <c r="N26" s="87">
        <v>79.68358926</v>
      </c>
      <c r="O26" s="104">
        <f t="shared" si="1"/>
        <v>79.68362133</v>
      </c>
      <c r="P26" s="104">
        <f t="shared" si="2"/>
        <v>12.77822751</v>
      </c>
      <c r="Q26" s="104">
        <f t="shared" si="3"/>
        <v>92.46184884</v>
      </c>
      <c r="R26" s="104">
        <f t="shared" si="4"/>
        <v>2.85964481</v>
      </c>
      <c r="S26" s="105">
        <f t="shared" si="5"/>
        <v>95.32149365</v>
      </c>
      <c r="T26" s="104">
        <f t="shared" si="6"/>
        <v>31.77383122</v>
      </c>
      <c r="U26" s="106">
        <v>127.09532486970002</v>
      </c>
      <c r="V26" s="106">
        <f t="shared" si="7"/>
        <v>50.83812995</v>
      </c>
      <c r="W26" s="107">
        <f t="shared" si="8"/>
        <v>6.929237112</v>
      </c>
      <c r="X26" s="108">
        <f t="shared" si="9"/>
        <v>134.024562</v>
      </c>
      <c r="Y26" s="93">
        <f t="shared" si="10"/>
        <v>-0.00003207264469</v>
      </c>
      <c r="Z26" s="104">
        <f t="shared" si="11"/>
        <v>0</v>
      </c>
      <c r="AA26" s="104">
        <f t="shared" si="12"/>
        <v>0</v>
      </c>
      <c r="AB26" s="104">
        <f t="shared" si="13"/>
        <v>0</v>
      </c>
      <c r="AC26" s="104">
        <f t="shared" si="14"/>
        <v>0</v>
      </c>
      <c r="AD26" s="105">
        <f t="shared" si="15"/>
        <v>0</v>
      </c>
      <c r="AE26" s="109"/>
      <c r="AF26" s="109"/>
      <c r="AG26" s="109"/>
      <c r="AH26" s="104">
        <f t="shared" si="16"/>
        <v>0</v>
      </c>
      <c r="AI26" s="104">
        <f t="shared" si="17"/>
        <v>0</v>
      </c>
      <c r="AJ26" s="95" t="str">
        <f>IF(Pedido!I36="ATENDE QTD. MÍNIMA",Pedido!H36,"")</f>
        <v/>
      </c>
      <c r="AK26" s="110">
        <f t="shared" si="18"/>
        <v>0</v>
      </c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ht="15.75" customHeight="1">
      <c r="A27" s="98" t="s">
        <v>371</v>
      </c>
      <c r="B27" s="99"/>
      <c r="C27" s="100"/>
      <c r="D27" s="114"/>
      <c r="E27" s="114"/>
      <c r="F27" s="103">
        <v>27.0</v>
      </c>
      <c r="G27" s="102" t="s">
        <v>92</v>
      </c>
      <c r="H27" s="102" t="s">
        <v>446</v>
      </c>
      <c r="I27" s="102" t="s">
        <v>93</v>
      </c>
      <c r="J27" s="102" t="s">
        <v>94</v>
      </c>
      <c r="K27" s="121" t="s">
        <v>415</v>
      </c>
      <c r="L27" s="199">
        <v>0.5</v>
      </c>
      <c r="M27" s="200"/>
      <c r="N27" s="87">
        <v>132.8059821</v>
      </c>
      <c r="O27" s="104">
        <f t="shared" si="1"/>
        <v>132.8094762</v>
      </c>
      <c r="P27" s="104">
        <f t="shared" si="2"/>
        <v>21.2975976</v>
      </c>
      <c r="Q27" s="104">
        <f t="shared" si="3"/>
        <v>154.1070738</v>
      </c>
      <c r="R27" s="104">
        <f t="shared" si="4"/>
        <v>4.766198159</v>
      </c>
      <c r="S27" s="105">
        <f t="shared" si="5"/>
        <v>158.873272</v>
      </c>
      <c r="T27" s="104">
        <f t="shared" si="6"/>
        <v>52.95775733</v>
      </c>
      <c r="U27" s="106">
        <v>211.8310293</v>
      </c>
      <c r="V27" s="106">
        <f t="shared" si="7"/>
        <v>84.73241172</v>
      </c>
      <c r="W27" s="107">
        <f t="shared" si="8"/>
        <v>11.54902772</v>
      </c>
      <c r="X27" s="108">
        <f t="shared" si="9"/>
        <v>223.380057</v>
      </c>
      <c r="Y27" s="93">
        <f t="shared" si="10"/>
        <v>-0.003494114413</v>
      </c>
      <c r="Z27" s="104">
        <f t="shared" si="11"/>
        <v>0</v>
      </c>
      <c r="AA27" s="104">
        <f t="shared" si="12"/>
        <v>0</v>
      </c>
      <c r="AB27" s="104">
        <f t="shared" si="13"/>
        <v>0</v>
      </c>
      <c r="AC27" s="104">
        <f t="shared" si="14"/>
        <v>0</v>
      </c>
      <c r="AD27" s="105">
        <f t="shared" si="15"/>
        <v>0</v>
      </c>
      <c r="AE27" s="109"/>
      <c r="AF27" s="109"/>
      <c r="AG27" s="109"/>
      <c r="AH27" s="104">
        <f t="shared" si="16"/>
        <v>0</v>
      </c>
      <c r="AI27" s="104">
        <f t="shared" si="17"/>
        <v>0</v>
      </c>
      <c r="AJ27" s="95" t="str">
        <f>IF(Pedido!I37="ATENDE QTD. MÍNIMA",Pedido!H37,"")</f>
        <v/>
      </c>
      <c r="AK27" s="110">
        <f t="shared" si="18"/>
        <v>0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ht="15.75" customHeight="1">
      <c r="A28" s="98" t="s">
        <v>371</v>
      </c>
      <c r="B28" s="99"/>
      <c r="C28" s="100"/>
      <c r="D28" s="100"/>
      <c r="E28" s="102" t="s">
        <v>449</v>
      </c>
      <c r="F28" s="103">
        <v>28.0</v>
      </c>
      <c r="G28" s="81" t="s">
        <v>451</v>
      </c>
      <c r="H28" s="102" t="s">
        <v>448</v>
      </c>
      <c r="I28" s="81" t="s">
        <v>97</v>
      </c>
      <c r="J28" s="102" t="s">
        <v>94</v>
      </c>
      <c r="K28" s="102" t="s">
        <v>57</v>
      </c>
      <c r="L28" s="199">
        <v>4.0</v>
      </c>
      <c r="M28" s="200"/>
      <c r="N28" s="87">
        <v>94.347</v>
      </c>
      <c r="O28" s="111">
        <f t="shared" si="1"/>
        <v>94.35113516</v>
      </c>
      <c r="P28" s="104">
        <f t="shared" si="2"/>
        <v>15.13033985</v>
      </c>
      <c r="Q28" s="104">
        <f t="shared" si="3"/>
        <v>109.481475</v>
      </c>
      <c r="R28" s="104">
        <f t="shared" si="4"/>
        <v>3.386025</v>
      </c>
      <c r="S28" s="105">
        <f t="shared" si="5"/>
        <v>112.8675</v>
      </c>
      <c r="T28" s="104">
        <f t="shared" si="6"/>
        <v>37.6225</v>
      </c>
      <c r="U28" s="106">
        <v>150.49</v>
      </c>
      <c r="V28" s="106">
        <f t="shared" si="7"/>
        <v>60.196</v>
      </c>
      <c r="W28" s="107">
        <f t="shared" si="8"/>
        <v>8.2047148</v>
      </c>
      <c r="X28" s="108">
        <f t="shared" si="9"/>
        <v>158.6947148</v>
      </c>
      <c r="Y28" s="93">
        <f t="shared" si="10"/>
        <v>-0.004135155</v>
      </c>
      <c r="Z28" s="104">
        <f t="shared" si="11"/>
        <v>0</v>
      </c>
      <c r="AA28" s="104">
        <f t="shared" si="12"/>
        <v>0</v>
      </c>
      <c r="AB28" s="104">
        <f t="shared" si="13"/>
        <v>0</v>
      </c>
      <c r="AC28" s="104">
        <f t="shared" si="14"/>
        <v>0</v>
      </c>
      <c r="AD28" s="105">
        <f t="shared" si="15"/>
        <v>0</v>
      </c>
      <c r="AE28" s="109"/>
      <c r="AF28" s="109"/>
      <c r="AG28" s="109"/>
      <c r="AH28" s="104">
        <f t="shared" si="16"/>
        <v>0</v>
      </c>
      <c r="AI28" s="104">
        <f t="shared" si="17"/>
        <v>0</v>
      </c>
      <c r="AJ28" s="95" t="str">
        <f>IF(Pedido!I38="ATENDE QTD. MÍNIMA",Pedido!H38,"")</f>
        <v/>
      </c>
      <c r="AK28" s="110">
        <f t="shared" si="18"/>
        <v>0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ht="15.75" customHeight="1">
      <c r="A29" s="98" t="s">
        <v>371</v>
      </c>
      <c r="B29" s="99"/>
      <c r="C29" s="100"/>
      <c r="D29" s="100"/>
      <c r="E29" s="102" t="s">
        <v>453</v>
      </c>
      <c r="F29" s="103">
        <v>29.0</v>
      </c>
      <c r="G29" s="102" t="s">
        <v>106</v>
      </c>
      <c r="H29" s="102" t="s">
        <v>452</v>
      </c>
      <c r="I29" s="102" t="s">
        <v>97</v>
      </c>
      <c r="J29" s="102" t="s">
        <v>94</v>
      </c>
      <c r="K29" s="102" t="s">
        <v>73</v>
      </c>
      <c r="L29" s="199">
        <v>1.0</v>
      </c>
      <c r="M29" s="200"/>
      <c r="N29" s="87">
        <v>96.5861688</v>
      </c>
      <c r="O29" s="113">
        <f t="shared" si="1"/>
        <v>96.58620768</v>
      </c>
      <c r="P29" s="104">
        <f t="shared" si="2"/>
        <v>15.48876062</v>
      </c>
      <c r="Q29" s="104">
        <f t="shared" si="3"/>
        <v>112.0749683</v>
      </c>
      <c r="R29" s="104">
        <f t="shared" si="4"/>
        <v>3.466236133</v>
      </c>
      <c r="S29" s="105">
        <f t="shared" si="5"/>
        <v>115.5412044</v>
      </c>
      <c r="T29" s="104">
        <f t="shared" si="6"/>
        <v>38.51373481</v>
      </c>
      <c r="U29" s="106">
        <v>154.05493923600002</v>
      </c>
      <c r="V29" s="106">
        <f t="shared" si="7"/>
        <v>61.62197569</v>
      </c>
      <c r="W29" s="107">
        <f t="shared" si="8"/>
        <v>8.399075287</v>
      </c>
      <c r="X29" s="108">
        <f t="shared" si="9"/>
        <v>162.4540145</v>
      </c>
      <c r="Y29" s="93">
        <f t="shared" si="10"/>
        <v>-0.00003887593297</v>
      </c>
      <c r="Z29" s="104">
        <f t="shared" si="11"/>
        <v>0</v>
      </c>
      <c r="AA29" s="104">
        <f t="shared" si="12"/>
        <v>0</v>
      </c>
      <c r="AB29" s="104">
        <f t="shared" si="13"/>
        <v>0</v>
      </c>
      <c r="AC29" s="104">
        <f t="shared" si="14"/>
        <v>0</v>
      </c>
      <c r="AD29" s="105">
        <f t="shared" si="15"/>
        <v>0</v>
      </c>
      <c r="AE29" s="109"/>
      <c r="AF29" s="109"/>
      <c r="AG29" s="109"/>
      <c r="AH29" s="104">
        <f t="shared" si="16"/>
        <v>0</v>
      </c>
      <c r="AI29" s="104">
        <f t="shared" si="17"/>
        <v>0</v>
      </c>
      <c r="AJ29" s="95" t="str">
        <f>IF(Pedido!I39="ATENDE QTD. MÍNIMA",Pedido!H39,"")</f>
        <v/>
      </c>
      <c r="AK29" s="110">
        <f t="shared" si="18"/>
        <v>0</v>
      </c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ht="15.75" customHeight="1">
      <c r="A30" s="98" t="s">
        <v>371</v>
      </c>
      <c r="B30" s="99"/>
      <c r="C30" s="100"/>
      <c r="D30" s="100"/>
      <c r="E30" s="102" t="s">
        <v>456</v>
      </c>
      <c r="F30" s="103">
        <v>30.0</v>
      </c>
      <c r="G30" s="102" t="s">
        <v>110</v>
      </c>
      <c r="H30" s="102" t="s">
        <v>455</v>
      </c>
      <c r="I30" s="102" t="s">
        <v>97</v>
      </c>
      <c r="J30" s="102" t="s">
        <v>94</v>
      </c>
      <c r="K30" s="102" t="s">
        <v>108</v>
      </c>
      <c r="L30" s="199">
        <v>0.5</v>
      </c>
      <c r="M30" s="200"/>
      <c r="N30" s="87">
        <v>132.80598210000002</v>
      </c>
      <c r="O30" s="104">
        <f t="shared" si="1"/>
        <v>132.8060356</v>
      </c>
      <c r="P30" s="104">
        <f t="shared" si="2"/>
        <v>21.29704585</v>
      </c>
      <c r="Q30" s="104">
        <f t="shared" si="3"/>
        <v>154.1030814</v>
      </c>
      <c r="R30" s="104">
        <f t="shared" si="4"/>
        <v>4.766074683</v>
      </c>
      <c r="S30" s="105">
        <f t="shared" si="5"/>
        <v>158.8691561</v>
      </c>
      <c r="T30" s="104">
        <f t="shared" si="6"/>
        <v>52.95638536</v>
      </c>
      <c r="U30" s="106">
        <v>211.82554144950004</v>
      </c>
      <c r="V30" s="106">
        <f t="shared" si="7"/>
        <v>84.73021658</v>
      </c>
      <c r="W30" s="107">
        <f t="shared" si="8"/>
        <v>11.54872852</v>
      </c>
      <c r="X30" s="108">
        <f t="shared" si="9"/>
        <v>223.37427</v>
      </c>
      <c r="Y30" s="93">
        <f t="shared" si="10"/>
        <v>-0.00005345440781</v>
      </c>
      <c r="Z30" s="104">
        <f t="shared" si="11"/>
        <v>0</v>
      </c>
      <c r="AA30" s="104">
        <f t="shared" si="12"/>
        <v>0</v>
      </c>
      <c r="AB30" s="104">
        <f t="shared" si="13"/>
        <v>0</v>
      </c>
      <c r="AC30" s="104">
        <f t="shared" si="14"/>
        <v>0</v>
      </c>
      <c r="AD30" s="105">
        <f t="shared" si="15"/>
        <v>0</v>
      </c>
      <c r="AE30" s="109"/>
      <c r="AF30" s="109"/>
      <c r="AG30" s="109"/>
      <c r="AH30" s="104">
        <f t="shared" si="16"/>
        <v>0</v>
      </c>
      <c r="AI30" s="104">
        <f t="shared" si="17"/>
        <v>0</v>
      </c>
      <c r="AJ30" s="95" t="str">
        <f>IF(Pedido!I40="ATENDE QTD. MÍNIMA",Pedido!H40,"")</f>
        <v/>
      </c>
      <c r="AK30" s="110">
        <f t="shared" si="18"/>
        <v>0</v>
      </c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ht="15.75" customHeight="1">
      <c r="A31" s="98" t="s">
        <v>371</v>
      </c>
      <c r="B31" s="99"/>
      <c r="C31" s="100"/>
      <c r="D31" s="100"/>
      <c r="E31" s="102" t="s">
        <v>459</v>
      </c>
      <c r="F31" s="103">
        <v>31.0</v>
      </c>
      <c r="G31" s="102" t="s">
        <v>112</v>
      </c>
      <c r="H31" s="102" t="s">
        <v>458</v>
      </c>
      <c r="I31" s="102" t="s">
        <v>93</v>
      </c>
      <c r="J31" s="102" t="s">
        <v>94</v>
      </c>
      <c r="K31" s="117" t="s">
        <v>415</v>
      </c>
      <c r="L31" s="199">
        <v>0.5</v>
      </c>
      <c r="M31" s="200"/>
      <c r="N31" s="87">
        <v>164.635515</v>
      </c>
      <c r="O31" s="104">
        <f t="shared" si="1"/>
        <v>164.6286999</v>
      </c>
      <c r="P31" s="104">
        <f t="shared" si="2"/>
        <v>26.40019301</v>
      </c>
      <c r="Q31" s="104">
        <f t="shared" si="3"/>
        <v>191.028893</v>
      </c>
      <c r="R31" s="104">
        <f t="shared" si="4"/>
        <v>5.908110091</v>
      </c>
      <c r="S31" s="105">
        <f t="shared" si="5"/>
        <v>196.937003</v>
      </c>
      <c r="T31" s="104">
        <f t="shared" si="6"/>
        <v>65.64566768</v>
      </c>
      <c r="U31" s="106">
        <v>262.582670724</v>
      </c>
      <c r="V31" s="106">
        <f t="shared" si="7"/>
        <v>105.0330683</v>
      </c>
      <c r="W31" s="107">
        <f t="shared" si="8"/>
        <v>14.31600721</v>
      </c>
      <c r="X31" s="108">
        <f t="shared" si="9"/>
        <v>276.8986779</v>
      </c>
      <c r="Y31" s="93">
        <f t="shared" si="10"/>
        <v>0.006815054216</v>
      </c>
      <c r="Z31" s="104">
        <f t="shared" si="11"/>
        <v>0</v>
      </c>
      <c r="AA31" s="104">
        <f t="shared" si="12"/>
        <v>0</v>
      </c>
      <c r="AB31" s="104">
        <f t="shared" si="13"/>
        <v>0</v>
      </c>
      <c r="AC31" s="104">
        <f t="shared" si="14"/>
        <v>0</v>
      </c>
      <c r="AD31" s="105">
        <f t="shared" si="15"/>
        <v>0</v>
      </c>
      <c r="AE31" s="109"/>
      <c r="AF31" s="109"/>
      <c r="AG31" s="109"/>
      <c r="AH31" s="104">
        <f t="shared" si="16"/>
        <v>0</v>
      </c>
      <c r="AI31" s="104">
        <f t="shared" si="17"/>
        <v>0</v>
      </c>
      <c r="AJ31" s="95" t="str">
        <f>IF(Pedido!I41="ATENDE QTD. MÍNIMA",Pedido!H41,"")</f>
        <v/>
      </c>
      <c r="AK31" s="110">
        <f t="shared" si="18"/>
        <v>0</v>
      </c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ht="15.75" customHeight="1">
      <c r="A32" s="98" t="s">
        <v>371</v>
      </c>
      <c r="B32" s="99"/>
      <c r="C32" s="100"/>
      <c r="D32" s="100"/>
      <c r="E32" s="102" t="s">
        <v>462</v>
      </c>
      <c r="F32" s="103">
        <v>32.0</v>
      </c>
      <c r="G32" s="102" t="s">
        <v>114</v>
      </c>
      <c r="H32" s="102" t="s">
        <v>461</v>
      </c>
      <c r="I32" s="102" t="s">
        <v>97</v>
      </c>
      <c r="J32" s="102" t="s">
        <v>94</v>
      </c>
      <c r="K32" s="102" t="s">
        <v>60</v>
      </c>
      <c r="L32" s="199">
        <v>1.0</v>
      </c>
      <c r="M32" s="200"/>
      <c r="N32" s="87">
        <v>79.68358926</v>
      </c>
      <c r="O32" s="104">
        <f t="shared" si="1"/>
        <v>79.68362133</v>
      </c>
      <c r="P32" s="104">
        <f t="shared" si="2"/>
        <v>12.77822751</v>
      </c>
      <c r="Q32" s="104">
        <f t="shared" si="3"/>
        <v>92.46184884</v>
      </c>
      <c r="R32" s="104">
        <f t="shared" si="4"/>
        <v>2.85964481</v>
      </c>
      <c r="S32" s="105">
        <f t="shared" si="5"/>
        <v>95.32149365</v>
      </c>
      <c r="T32" s="104">
        <f t="shared" si="6"/>
        <v>31.77383122</v>
      </c>
      <c r="U32" s="106">
        <v>127.09532486970002</v>
      </c>
      <c r="V32" s="106">
        <f t="shared" si="7"/>
        <v>50.83812995</v>
      </c>
      <c r="W32" s="107">
        <f t="shared" si="8"/>
        <v>6.929237112</v>
      </c>
      <c r="X32" s="108">
        <f t="shared" si="9"/>
        <v>134.024562</v>
      </c>
      <c r="Y32" s="93">
        <f t="shared" si="10"/>
        <v>-0.00003207264469</v>
      </c>
      <c r="Z32" s="104">
        <f t="shared" si="11"/>
        <v>0</v>
      </c>
      <c r="AA32" s="104">
        <f t="shared" si="12"/>
        <v>0</v>
      </c>
      <c r="AB32" s="104">
        <f t="shared" si="13"/>
        <v>0</v>
      </c>
      <c r="AC32" s="104">
        <f t="shared" si="14"/>
        <v>0</v>
      </c>
      <c r="AD32" s="105">
        <f t="shared" si="15"/>
        <v>0</v>
      </c>
      <c r="AE32" s="109"/>
      <c r="AF32" s="109"/>
      <c r="AG32" s="109"/>
      <c r="AH32" s="104">
        <f t="shared" si="16"/>
        <v>0</v>
      </c>
      <c r="AI32" s="104">
        <f t="shared" si="17"/>
        <v>0</v>
      </c>
      <c r="AJ32" s="95" t="str">
        <f>IF(Pedido!I42="ATENDE QTD. MÍNIMA",Pedido!H42,"")</f>
        <v/>
      </c>
      <c r="AK32" s="110">
        <f t="shared" si="18"/>
        <v>0</v>
      </c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ht="15.75" customHeight="1">
      <c r="A33" s="98" t="s">
        <v>371</v>
      </c>
      <c r="B33" s="99"/>
      <c r="C33" s="100"/>
      <c r="D33" s="100"/>
      <c r="E33" s="102" t="s">
        <v>465</v>
      </c>
      <c r="F33" s="103">
        <v>33.0</v>
      </c>
      <c r="G33" s="102" t="s">
        <v>117</v>
      </c>
      <c r="H33" s="102" t="s">
        <v>464</v>
      </c>
      <c r="I33" s="102" t="s">
        <v>97</v>
      </c>
      <c r="J33" s="102" t="s">
        <v>94</v>
      </c>
      <c r="K33" s="102" t="s">
        <v>115</v>
      </c>
      <c r="L33" s="199">
        <v>0.1</v>
      </c>
      <c r="M33" s="200"/>
      <c r="N33" s="87">
        <v>464.82093735000007</v>
      </c>
      <c r="O33" s="113">
        <f t="shared" si="1"/>
        <v>464.8211244</v>
      </c>
      <c r="P33" s="104">
        <f t="shared" si="2"/>
        <v>74.53966048</v>
      </c>
      <c r="Q33" s="104">
        <f t="shared" si="3"/>
        <v>539.3607849</v>
      </c>
      <c r="R33" s="104">
        <f t="shared" si="4"/>
        <v>16.68126139</v>
      </c>
      <c r="S33" s="105">
        <f t="shared" si="5"/>
        <v>556.0420463</v>
      </c>
      <c r="T33" s="104">
        <f t="shared" si="6"/>
        <v>185.3473488</v>
      </c>
      <c r="U33" s="106">
        <v>741.3893950732501</v>
      </c>
      <c r="V33" s="106">
        <f t="shared" si="7"/>
        <v>296.555758</v>
      </c>
      <c r="W33" s="107">
        <f t="shared" si="8"/>
        <v>40.42054982</v>
      </c>
      <c r="X33" s="108">
        <f t="shared" si="9"/>
        <v>781.8099449</v>
      </c>
      <c r="Y33" s="93">
        <f t="shared" si="10"/>
        <v>-0.0001870904272</v>
      </c>
      <c r="Z33" s="104">
        <f t="shared" si="11"/>
        <v>0</v>
      </c>
      <c r="AA33" s="104">
        <f t="shared" si="12"/>
        <v>0</v>
      </c>
      <c r="AB33" s="104">
        <f t="shared" si="13"/>
        <v>0</v>
      </c>
      <c r="AC33" s="104">
        <f t="shared" si="14"/>
        <v>0</v>
      </c>
      <c r="AD33" s="105">
        <f t="shared" si="15"/>
        <v>0</v>
      </c>
      <c r="AE33" s="109"/>
      <c r="AF33" s="109"/>
      <c r="AG33" s="109"/>
      <c r="AH33" s="104">
        <f t="shared" si="16"/>
        <v>0</v>
      </c>
      <c r="AI33" s="104">
        <f t="shared" si="17"/>
        <v>0</v>
      </c>
      <c r="AJ33" s="95" t="str">
        <f>IF(Pedido!I43="ATENDE QTD. MÍNIMA",Pedido!H43,"")</f>
        <v/>
      </c>
      <c r="AK33" s="110">
        <f t="shared" si="18"/>
        <v>0</v>
      </c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ht="15.75" customHeight="1">
      <c r="A34" s="98" t="s">
        <v>371</v>
      </c>
      <c r="B34" s="99"/>
      <c r="C34" s="100"/>
      <c r="D34" s="114"/>
      <c r="E34" s="102" t="s">
        <v>468</v>
      </c>
      <c r="F34" s="103">
        <v>34.0</v>
      </c>
      <c r="G34" s="102" t="s">
        <v>470</v>
      </c>
      <c r="H34" s="102" t="s">
        <v>467</v>
      </c>
      <c r="I34" s="102" t="s">
        <v>97</v>
      </c>
      <c r="J34" s="102" t="s">
        <v>94</v>
      </c>
      <c r="K34" s="102" t="s">
        <v>118</v>
      </c>
      <c r="L34" s="199">
        <v>0.3</v>
      </c>
      <c r="M34" s="200"/>
      <c r="N34" s="87">
        <v>106.24478568</v>
      </c>
      <c r="O34" s="113">
        <f t="shared" si="1"/>
        <v>106.2448284</v>
      </c>
      <c r="P34" s="104">
        <f t="shared" si="2"/>
        <v>17.03763668</v>
      </c>
      <c r="Q34" s="104">
        <f t="shared" si="3"/>
        <v>123.2824651</v>
      </c>
      <c r="R34" s="104">
        <f t="shared" si="4"/>
        <v>3.812859746</v>
      </c>
      <c r="S34" s="105">
        <f t="shared" si="5"/>
        <v>127.0953249</v>
      </c>
      <c r="T34" s="104">
        <f t="shared" si="6"/>
        <v>42.36510829</v>
      </c>
      <c r="U34" s="106">
        <v>169.4604331596</v>
      </c>
      <c r="V34" s="106">
        <f t="shared" si="7"/>
        <v>67.78417326</v>
      </c>
      <c r="W34" s="107">
        <f t="shared" si="8"/>
        <v>9.238982816</v>
      </c>
      <c r="X34" s="108">
        <f t="shared" si="9"/>
        <v>178.699416</v>
      </c>
      <c r="Y34" s="93">
        <f t="shared" si="10"/>
        <v>-0.00004276352624</v>
      </c>
      <c r="Z34" s="104">
        <f t="shared" si="11"/>
        <v>0</v>
      </c>
      <c r="AA34" s="104">
        <f t="shared" si="12"/>
        <v>0</v>
      </c>
      <c r="AB34" s="104">
        <f t="shared" si="13"/>
        <v>0</v>
      </c>
      <c r="AC34" s="104">
        <f t="shared" si="14"/>
        <v>0</v>
      </c>
      <c r="AD34" s="105">
        <f t="shared" si="15"/>
        <v>0</v>
      </c>
      <c r="AE34" s="109"/>
      <c r="AF34" s="109"/>
      <c r="AG34" s="109"/>
      <c r="AH34" s="104">
        <f t="shared" si="16"/>
        <v>0</v>
      </c>
      <c r="AI34" s="104">
        <f t="shared" si="17"/>
        <v>0</v>
      </c>
      <c r="AJ34" s="95" t="str">
        <f>IF(Pedido!I44="ATENDE QTD. MÍNIMA",Pedido!H44,"")</f>
        <v/>
      </c>
      <c r="AK34" s="110">
        <f t="shared" si="18"/>
        <v>0</v>
      </c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ht="15.75" customHeight="1">
      <c r="A35" s="98" t="s">
        <v>371</v>
      </c>
      <c r="B35" s="99"/>
      <c r="C35" s="100"/>
      <c r="D35" s="116" t="s">
        <v>372</v>
      </c>
      <c r="E35" s="102" t="s">
        <v>472</v>
      </c>
      <c r="F35" s="103">
        <v>39.0</v>
      </c>
      <c r="G35" s="102" t="s">
        <v>122</v>
      </c>
      <c r="H35" s="102" t="s">
        <v>471</v>
      </c>
      <c r="I35" s="102" t="s">
        <v>97</v>
      </c>
      <c r="J35" s="102" t="s">
        <v>94</v>
      </c>
      <c r="K35" s="117" t="s">
        <v>415</v>
      </c>
      <c r="L35" s="199">
        <v>1.0</v>
      </c>
      <c r="M35" s="200"/>
      <c r="N35" s="87">
        <v>96.5861688</v>
      </c>
      <c r="O35" s="104">
        <f t="shared" si="1"/>
        <v>96.58620768</v>
      </c>
      <c r="P35" s="104">
        <f t="shared" si="2"/>
        <v>15.48876062</v>
      </c>
      <c r="Q35" s="104">
        <f t="shared" si="3"/>
        <v>112.0749683</v>
      </c>
      <c r="R35" s="104">
        <f t="shared" si="4"/>
        <v>3.466236133</v>
      </c>
      <c r="S35" s="105">
        <f t="shared" si="5"/>
        <v>115.5412044</v>
      </c>
      <c r="T35" s="104">
        <f t="shared" si="6"/>
        <v>38.51373481</v>
      </c>
      <c r="U35" s="106">
        <v>154.05493923600002</v>
      </c>
      <c r="V35" s="106">
        <f t="shared" si="7"/>
        <v>61.62197569</v>
      </c>
      <c r="W35" s="107">
        <f t="shared" si="8"/>
        <v>8.399075287</v>
      </c>
      <c r="X35" s="108">
        <f t="shared" si="9"/>
        <v>162.4540145</v>
      </c>
      <c r="Y35" s="93">
        <f t="shared" si="10"/>
        <v>-0.00003887593297</v>
      </c>
      <c r="Z35" s="104">
        <f t="shared" si="11"/>
        <v>0</v>
      </c>
      <c r="AA35" s="104">
        <f t="shared" si="12"/>
        <v>0</v>
      </c>
      <c r="AB35" s="104">
        <f t="shared" si="13"/>
        <v>0</v>
      </c>
      <c r="AC35" s="104">
        <f t="shared" si="14"/>
        <v>0</v>
      </c>
      <c r="AD35" s="105">
        <f t="shared" si="15"/>
        <v>0</v>
      </c>
      <c r="AE35" s="109"/>
      <c r="AF35" s="109"/>
      <c r="AG35" s="109"/>
      <c r="AH35" s="104">
        <f t="shared" si="16"/>
        <v>0</v>
      </c>
      <c r="AI35" s="104">
        <f t="shared" si="17"/>
        <v>0</v>
      </c>
      <c r="AJ35" s="95" t="str">
        <f>IF(Pedido!I45="ATENDE QTD. MÍNIMA",Pedido!H45,"")</f>
        <v/>
      </c>
      <c r="AK35" s="110">
        <f t="shared" si="18"/>
        <v>0</v>
      </c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ht="15.75" customHeight="1">
      <c r="A36" s="98" t="s">
        <v>371</v>
      </c>
      <c r="B36" s="99"/>
      <c r="C36" s="100"/>
      <c r="D36" s="100"/>
      <c r="E36" s="102" t="s">
        <v>475</v>
      </c>
      <c r="F36" s="103">
        <v>35.0</v>
      </c>
      <c r="G36" s="102" t="s">
        <v>124</v>
      </c>
      <c r="H36" s="102" t="s">
        <v>474</v>
      </c>
      <c r="I36" s="102" t="s">
        <v>97</v>
      </c>
      <c r="J36" s="102" t="s">
        <v>94</v>
      </c>
      <c r="K36" s="102" t="s">
        <v>118</v>
      </c>
      <c r="L36" s="199">
        <v>0.5</v>
      </c>
      <c r="M36" s="200"/>
      <c r="N36" s="87">
        <v>132.80598210000002</v>
      </c>
      <c r="O36" s="104">
        <f t="shared" si="1"/>
        <v>132.8060356</v>
      </c>
      <c r="P36" s="104">
        <f t="shared" si="2"/>
        <v>21.29704585</v>
      </c>
      <c r="Q36" s="104">
        <f t="shared" si="3"/>
        <v>154.1030814</v>
      </c>
      <c r="R36" s="104">
        <f t="shared" si="4"/>
        <v>4.766074683</v>
      </c>
      <c r="S36" s="105">
        <f t="shared" si="5"/>
        <v>158.8691561</v>
      </c>
      <c r="T36" s="104">
        <f t="shared" si="6"/>
        <v>52.95638536</v>
      </c>
      <c r="U36" s="106">
        <v>211.82554144950004</v>
      </c>
      <c r="V36" s="106">
        <f t="shared" si="7"/>
        <v>84.73021658</v>
      </c>
      <c r="W36" s="107">
        <f t="shared" si="8"/>
        <v>11.54872852</v>
      </c>
      <c r="X36" s="108">
        <f t="shared" si="9"/>
        <v>223.37427</v>
      </c>
      <c r="Y36" s="93">
        <f t="shared" si="10"/>
        <v>-0.00005345440781</v>
      </c>
      <c r="Z36" s="104">
        <f t="shared" si="11"/>
        <v>0</v>
      </c>
      <c r="AA36" s="104">
        <f t="shared" si="12"/>
        <v>0</v>
      </c>
      <c r="AB36" s="104">
        <f t="shared" si="13"/>
        <v>0</v>
      </c>
      <c r="AC36" s="104">
        <f t="shared" si="14"/>
        <v>0</v>
      </c>
      <c r="AD36" s="105">
        <f t="shared" si="15"/>
        <v>0</v>
      </c>
      <c r="AE36" s="109"/>
      <c r="AF36" s="109"/>
      <c r="AG36" s="109"/>
      <c r="AH36" s="104">
        <f t="shared" si="16"/>
        <v>0</v>
      </c>
      <c r="AI36" s="104">
        <f t="shared" si="17"/>
        <v>0</v>
      </c>
      <c r="AJ36" s="95" t="str">
        <f>IF(Pedido!I46="ATENDE QTD. MÍNIMA",Pedido!H46,"")</f>
        <v/>
      </c>
      <c r="AK36" s="110">
        <f t="shared" si="18"/>
        <v>0</v>
      </c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ht="15.75" customHeight="1">
      <c r="A37" s="98" t="s">
        <v>371</v>
      </c>
      <c r="B37" s="99"/>
      <c r="C37" s="100"/>
      <c r="D37" s="100"/>
      <c r="E37" s="102" t="s">
        <v>478</v>
      </c>
      <c r="F37" s="103">
        <v>36.0</v>
      </c>
      <c r="G37" s="102" t="s">
        <v>126</v>
      </c>
      <c r="H37" s="102" t="s">
        <v>477</v>
      </c>
      <c r="I37" s="102" t="s">
        <v>97</v>
      </c>
      <c r="J37" s="102" t="s">
        <v>94</v>
      </c>
      <c r="K37" s="102" t="s">
        <v>60</v>
      </c>
      <c r="L37" s="199">
        <v>0.5</v>
      </c>
      <c r="M37" s="200"/>
      <c r="N37" s="87">
        <v>115.313</v>
      </c>
      <c r="O37" s="111">
        <f t="shared" si="1"/>
        <v>115.2978521</v>
      </c>
      <c r="P37" s="104">
        <f t="shared" si="2"/>
        <v>18.48939795</v>
      </c>
      <c r="Q37" s="104">
        <f t="shared" si="3"/>
        <v>133.78725</v>
      </c>
      <c r="R37" s="104">
        <f t="shared" si="4"/>
        <v>4.13775</v>
      </c>
      <c r="S37" s="105">
        <f t="shared" si="5"/>
        <v>137.925</v>
      </c>
      <c r="T37" s="104">
        <f t="shared" si="6"/>
        <v>45.975</v>
      </c>
      <c r="U37" s="106">
        <v>183.9</v>
      </c>
      <c r="V37" s="106">
        <f t="shared" si="7"/>
        <v>73.56</v>
      </c>
      <c r="W37" s="107">
        <f t="shared" si="8"/>
        <v>10.026228</v>
      </c>
      <c r="X37" s="108">
        <f t="shared" si="9"/>
        <v>193.926228</v>
      </c>
      <c r="Y37" s="93">
        <f t="shared" si="10"/>
        <v>0.01514795</v>
      </c>
      <c r="Z37" s="104">
        <f t="shared" si="11"/>
        <v>0</v>
      </c>
      <c r="AA37" s="104">
        <f t="shared" si="12"/>
        <v>0</v>
      </c>
      <c r="AB37" s="104">
        <f t="shared" si="13"/>
        <v>0</v>
      </c>
      <c r="AC37" s="104">
        <f t="shared" si="14"/>
        <v>0</v>
      </c>
      <c r="AD37" s="105">
        <f t="shared" si="15"/>
        <v>0</v>
      </c>
      <c r="AE37" s="109"/>
      <c r="AF37" s="109"/>
      <c r="AG37" s="109"/>
      <c r="AH37" s="104">
        <f t="shared" si="16"/>
        <v>0</v>
      </c>
      <c r="AI37" s="104">
        <f t="shared" si="17"/>
        <v>0</v>
      </c>
      <c r="AJ37" s="95" t="str">
        <f>IF(Pedido!I47="ATENDE QTD. MÍNIMA",Pedido!H47,"")</f>
        <v/>
      </c>
      <c r="AK37" s="110">
        <f t="shared" si="18"/>
        <v>0</v>
      </c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ht="15.75" customHeight="1">
      <c r="A38" s="98" t="s">
        <v>371</v>
      </c>
      <c r="B38" s="99"/>
      <c r="C38" s="100"/>
      <c r="D38" s="100"/>
      <c r="E38" s="102" t="s">
        <v>481</v>
      </c>
      <c r="F38" s="103">
        <v>37.0</v>
      </c>
      <c r="G38" s="102" t="s">
        <v>483</v>
      </c>
      <c r="H38" s="102" t="s">
        <v>480</v>
      </c>
      <c r="I38" s="102" t="s">
        <v>97</v>
      </c>
      <c r="J38" s="102" t="s">
        <v>94</v>
      </c>
      <c r="K38" s="102" t="s">
        <v>118</v>
      </c>
      <c r="L38" s="199">
        <v>2.0</v>
      </c>
      <c r="M38" s="200"/>
      <c r="N38" s="87">
        <v>106.24478568</v>
      </c>
      <c r="O38" s="104">
        <f t="shared" si="1"/>
        <v>106.2448284</v>
      </c>
      <c r="P38" s="104">
        <f t="shared" si="2"/>
        <v>17.03763668</v>
      </c>
      <c r="Q38" s="104">
        <f t="shared" si="3"/>
        <v>123.2824651</v>
      </c>
      <c r="R38" s="104">
        <f t="shared" si="4"/>
        <v>3.812859746</v>
      </c>
      <c r="S38" s="105">
        <f t="shared" si="5"/>
        <v>127.0953249</v>
      </c>
      <c r="T38" s="104">
        <f t="shared" si="6"/>
        <v>42.36510829</v>
      </c>
      <c r="U38" s="106">
        <v>169.4604331596</v>
      </c>
      <c r="V38" s="106">
        <f t="shared" si="7"/>
        <v>67.78417326</v>
      </c>
      <c r="W38" s="107">
        <f t="shared" si="8"/>
        <v>9.238982816</v>
      </c>
      <c r="X38" s="108">
        <f t="shared" si="9"/>
        <v>178.699416</v>
      </c>
      <c r="Y38" s="93">
        <f t="shared" si="10"/>
        <v>-0.00004276352624</v>
      </c>
      <c r="Z38" s="104">
        <f t="shared" si="11"/>
        <v>0</v>
      </c>
      <c r="AA38" s="104">
        <f t="shared" si="12"/>
        <v>0</v>
      </c>
      <c r="AB38" s="104">
        <f t="shared" si="13"/>
        <v>0</v>
      </c>
      <c r="AC38" s="104">
        <f t="shared" si="14"/>
        <v>0</v>
      </c>
      <c r="AD38" s="105">
        <f t="shared" si="15"/>
        <v>0</v>
      </c>
      <c r="AE38" s="109"/>
      <c r="AF38" s="109"/>
      <c r="AG38" s="109"/>
      <c r="AH38" s="104">
        <f t="shared" si="16"/>
        <v>0</v>
      </c>
      <c r="AI38" s="104">
        <f t="shared" si="17"/>
        <v>0</v>
      </c>
      <c r="AJ38" s="95" t="str">
        <f>IF(Pedido!I48="ATENDE QTD. MÍNIMA",Pedido!H48,"")</f>
        <v/>
      </c>
      <c r="AK38" s="110">
        <f t="shared" si="18"/>
        <v>0</v>
      </c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ht="15.75" customHeight="1">
      <c r="A39" s="98" t="s">
        <v>371</v>
      </c>
      <c r="B39" s="119" t="s">
        <v>431</v>
      </c>
      <c r="C39" s="100"/>
      <c r="D39" s="101"/>
      <c r="E39" s="101"/>
      <c r="F39" s="103">
        <v>131.0</v>
      </c>
      <c r="G39" s="102" t="s">
        <v>486</v>
      </c>
      <c r="H39" s="112" t="s">
        <v>484</v>
      </c>
      <c r="I39" s="117" t="s">
        <v>97</v>
      </c>
      <c r="J39" s="117" t="s">
        <v>94</v>
      </c>
      <c r="K39" s="117" t="s">
        <v>415</v>
      </c>
      <c r="L39" s="199">
        <v>1.0</v>
      </c>
      <c r="M39" s="200"/>
      <c r="N39" s="87">
        <v>157.245</v>
      </c>
      <c r="O39" s="111">
        <f t="shared" si="1"/>
        <v>157.2414426</v>
      </c>
      <c r="P39" s="104">
        <f t="shared" si="2"/>
        <v>25.2155574</v>
      </c>
      <c r="Q39" s="104">
        <f t="shared" si="3"/>
        <v>182.457</v>
      </c>
      <c r="R39" s="104">
        <f t="shared" si="4"/>
        <v>5.643</v>
      </c>
      <c r="S39" s="105">
        <f t="shared" si="5"/>
        <v>188.1</v>
      </c>
      <c r="T39" s="104">
        <f t="shared" si="6"/>
        <v>62.7</v>
      </c>
      <c r="U39" s="106">
        <v>250.8</v>
      </c>
      <c r="V39" s="106">
        <f t="shared" si="7"/>
        <v>100.32</v>
      </c>
      <c r="W39" s="107">
        <f t="shared" si="8"/>
        <v>13.673616</v>
      </c>
      <c r="X39" s="108">
        <f t="shared" si="9"/>
        <v>264.473616</v>
      </c>
      <c r="Y39" s="93">
        <f t="shared" si="10"/>
        <v>0.0035574</v>
      </c>
      <c r="Z39" s="104">
        <f t="shared" si="11"/>
        <v>0</v>
      </c>
      <c r="AA39" s="104">
        <f t="shared" si="12"/>
        <v>0</v>
      </c>
      <c r="AB39" s="104">
        <f t="shared" si="13"/>
        <v>0</v>
      </c>
      <c r="AC39" s="104">
        <f t="shared" si="14"/>
        <v>0</v>
      </c>
      <c r="AD39" s="105">
        <f t="shared" si="15"/>
        <v>0</v>
      </c>
      <c r="AE39" s="109"/>
      <c r="AF39" s="109"/>
      <c r="AG39" s="109"/>
      <c r="AH39" s="104">
        <f t="shared" si="16"/>
        <v>0</v>
      </c>
      <c r="AI39" s="104">
        <f t="shared" si="17"/>
        <v>0</v>
      </c>
      <c r="AJ39" s="95" t="str">
        <f>IF(Pedido!I49="ATENDE QTD. MÍNIMA",Pedido!H49,"")</f>
        <v/>
      </c>
      <c r="AK39" s="110">
        <f t="shared" si="18"/>
        <v>0</v>
      </c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ht="15.75" customHeight="1">
      <c r="A40" s="98" t="s">
        <v>371</v>
      </c>
      <c r="B40" s="99"/>
      <c r="C40" s="100"/>
      <c r="D40" s="100"/>
      <c r="E40" s="102" t="s">
        <v>488</v>
      </c>
      <c r="F40" s="103">
        <v>38.0</v>
      </c>
      <c r="G40" s="102" t="s">
        <v>130</v>
      </c>
      <c r="H40" s="102" t="s">
        <v>487</v>
      </c>
      <c r="I40" s="102" t="s">
        <v>97</v>
      </c>
      <c r="J40" s="102" t="s">
        <v>94</v>
      </c>
      <c r="K40" s="102" t="s">
        <v>118</v>
      </c>
      <c r="L40" s="199">
        <v>3.0</v>
      </c>
      <c r="M40" s="200"/>
      <c r="N40" s="87">
        <v>119.52538389000003</v>
      </c>
      <c r="O40" s="111">
        <f t="shared" si="1"/>
        <v>119.5235591</v>
      </c>
      <c r="P40" s="104">
        <f t="shared" si="2"/>
        <v>19.16704092</v>
      </c>
      <c r="Q40" s="104">
        <f t="shared" si="3"/>
        <v>138.6906</v>
      </c>
      <c r="R40" s="104">
        <f t="shared" si="4"/>
        <v>4.2894</v>
      </c>
      <c r="S40" s="105">
        <f t="shared" si="5"/>
        <v>142.98</v>
      </c>
      <c r="T40" s="104">
        <f t="shared" si="6"/>
        <v>47.66</v>
      </c>
      <c r="U40" s="106">
        <v>190.64</v>
      </c>
      <c r="V40" s="106">
        <f t="shared" si="7"/>
        <v>76.256</v>
      </c>
      <c r="W40" s="107">
        <f t="shared" si="8"/>
        <v>10.3936928</v>
      </c>
      <c r="X40" s="108">
        <f t="shared" si="9"/>
        <v>201.0336928</v>
      </c>
      <c r="Y40" s="93">
        <f t="shared" si="10"/>
        <v>0.00182481</v>
      </c>
      <c r="Z40" s="104">
        <f t="shared" si="11"/>
        <v>0</v>
      </c>
      <c r="AA40" s="104">
        <f t="shared" si="12"/>
        <v>0</v>
      </c>
      <c r="AB40" s="104">
        <f t="shared" si="13"/>
        <v>0</v>
      </c>
      <c r="AC40" s="104">
        <f t="shared" si="14"/>
        <v>0</v>
      </c>
      <c r="AD40" s="105">
        <f t="shared" si="15"/>
        <v>0</v>
      </c>
      <c r="AE40" s="109"/>
      <c r="AF40" s="109"/>
      <c r="AG40" s="109"/>
      <c r="AH40" s="104">
        <f t="shared" si="16"/>
        <v>0</v>
      </c>
      <c r="AI40" s="104">
        <f t="shared" si="17"/>
        <v>0</v>
      </c>
      <c r="AJ40" s="95" t="str">
        <f>IF(Pedido!I50="ATENDE QTD. MÍNIMA",Pedido!H50,"")</f>
        <v/>
      </c>
      <c r="AK40" s="110">
        <f t="shared" si="18"/>
        <v>0</v>
      </c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ht="15.75" customHeight="1">
      <c r="A41" s="98" t="s">
        <v>371</v>
      </c>
      <c r="B41" s="99"/>
      <c r="C41" s="100"/>
      <c r="D41" s="100"/>
      <c r="E41" s="102" t="s">
        <v>491</v>
      </c>
      <c r="F41" s="103">
        <v>40.0</v>
      </c>
      <c r="G41" s="102" t="s">
        <v>132</v>
      </c>
      <c r="H41" s="102" t="s">
        <v>490</v>
      </c>
      <c r="I41" s="102" t="s">
        <v>97</v>
      </c>
      <c r="J41" s="102" t="s">
        <v>94</v>
      </c>
      <c r="K41" s="117" t="s">
        <v>415</v>
      </c>
      <c r="L41" s="199">
        <v>1.0</v>
      </c>
      <c r="M41" s="200"/>
      <c r="N41" s="87">
        <v>96.5861688</v>
      </c>
      <c r="O41" s="104">
        <f t="shared" si="1"/>
        <v>96.58620768</v>
      </c>
      <c r="P41" s="104">
        <f t="shared" si="2"/>
        <v>15.48876062</v>
      </c>
      <c r="Q41" s="104">
        <f t="shared" si="3"/>
        <v>112.0749683</v>
      </c>
      <c r="R41" s="104">
        <f t="shared" si="4"/>
        <v>3.466236133</v>
      </c>
      <c r="S41" s="105">
        <f t="shared" si="5"/>
        <v>115.5412044</v>
      </c>
      <c r="T41" s="104">
        <f t="shared" si="6"/>
        <v>38.51373481</v>
      </c>
      <c r="U41" s="106">
        <v>154.05493923600002</v>
      </c>
      <c r="V41" s="106">
        <f t="shared" si="7"/>
        <v>61.62197569</v>
      </c>
      <c r="W41" s="107">
        <f t="shared" si="8"/>
        <v>8.399075287</v>
      </c>
      <c r="X41" s="108">
        <f t="shared" si="9"/>
        <v>162.4540145</v>
      </c>
      <c r="Y41" s="93">
        <f t="shared" si="10"/>
        <v>-0.00003887593297</v>
      </c>
      <c r="Z41" s="104">
        <f t="shared" si="11"/>
        <v>0</v>
      </c>
      <c r="AA41" s="104">
        <f t="shared" si="12"/>
        <v>0</v>
      </c>
      <c r="AB41" s="104">
        <f t="shared" si="13"/>
        <v>0</v>
      </c>
      <c r="AC41" s="104">
        <f t="shared" si="14"/>
        <v>0</v>
      </c>
      <c r="AD41" s="105">
        <f t="shared" si="15"/>
        <v>0</v>
      </c>
      <c r="AE41" s="109"/>
      <c r="AF41" s="109"/>
      <c r="AG41" s="109"/>
      <c r="AH41" s="104">
        <f t="shared" si="16"/>
        <v>0</v>
      </c>
      <c r="AI41" s="104">
        <f t="shared" si="17"/>
        <v>0</v>
      </c>
      <c r="AJ41" s="95" t="str">
        <f>IF(Pedido!I51="ATENDE QTD. MÍNIMA",Pedido!H51,"")</f>
        <v/>
      </c>
      <c r="AK41" s="110">
        <f t="shared" si="18"/>
        <v>0</v>
      </c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ht="15.75" customHeight="1">
      <c r="A42" s="98" t="s">
        <v>371</v>
      </c>
      <c r="B42" s="99"/>
      <c r="C42" s="100"/>
      <c r="D42" s="100"/>
      <c r="E42" s="102" t="s">
        <v>494</v>
      </c>
      <c r="F42" s="103">
        <v>41.0</v>
      </c>
      <c r="G42" s="102" t="s">
        <v>496</v>
      </c>
      <c r="H42" s="102" t="s">
        <v>493</v>
      </c>
      <c r="I42" s="102" t="s">
        <v>135</v>
      </c>
      <c r="J42" s="102" t="s">
        <v>34</v>
      </c>
      <c r="K42" s="102" t="s">
        <v>35</v>
      </c>
      <c r="L42" s="199">
        <v>2.0</v>
      </c>
      <c r="M42" s="200"/>
      <c r="N42" s="87">
        <v>19.920897315</v>
      </c>
      <c r="O42" s="111">
        <f t="shared" si="1"/>
        <v>19.90596413</v>
      </c>
      <c r="P42" s="104">
        <f t="shared" si="2"/>
        <v>3.192160875</v>
      </c>
      <c r="Q42" s="104">
        <f t="shared" si="3"/>
        <v>23.098125</v>
      </c>
      <c r="R42" s="104">
        <f t="shared" si="4"/>
        <v>0.714375</v>
      </c>
      <c r="S42" s="105">
        <f t="shared" si="5"/>
        <v>23.8125</v>
      </c>
      <c r="T42" s="104">
        <f t="shared" si="6"/>
        <v>7.9375</v>
      </c>
      <c r="U42" s="106">
        <v>31.75</v>
      </c>
      <c r="V42" s="106">
        <f t="shared" si="7"/>
        <v>12.7</v>
      </c>
      <c r="W42" s="107">
        <f t="shared" si="8"/>
        <v>1.73101</v>
      </c>
      <c r="X42" s="108">
        <f t="shared" si="9"/>
        <v>33.48101</v>
      </c>
      <c r="Y42" s="93">
        <f t="shared" si="10"/>
        <v>0.01493319</v>
      </c>
      <c r="Z42" s="104">
        <f t="shared" si="11"/>
        <v>0</v>
      </c>
      <c r="AA42" s="104">
        <f t="shared" si="12"/>
        <v>0</v>
      </c>
      <c r="AB42" s="104">
        <f t="shared" si="13"/>
        <v>0</v>
      </c>
      <c r="AC42" s="104">
        <f t="shared" si="14"/>
        <v>0</v>
      </c>
      <c r="AD42" s="105">
        <f t="shared" si="15"/>
        <v>0</v>
      </c>
      <c r="AE42" s="109"/>
      <c r="AF42" s="109"/>
      <c r="AG42" s="109"/>
      <c r="AH42" s="104">
        <f t="shared" si="16"/>
        <v>0</v>
      </c>
      <c r="AI42" s="104">
        <f t="shared" si="17"/>
        <v>0</v>
      </c>
      <c r="AJ42" s="95" t="str">
        <f>IF(Pedido!I52="ATENDE QTD. MÍNIMA",Pedido!H52,"")</f>
        <v/>
      </c>
      <c r="AK42" s="110">
        <f t="shared" si="18"/>
        <v>0</v>
      </c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ht="15.75" customHeight="1">
      <c r="A43" s="98" t="s">
        <v>371</v>
      </c>
      <c r="B43" s="99"/>
      <c r="C43" s="100"/>
      <c r="D43" s="100"/>
      <c r="E43" s="102" t="s">
        <v>498</v>
      </c>
      <c r="F43" s="103">
        <v>42.0</v>
      </c>
      <c r="G43" s="102" t="s">
        <v>139</v>
      </c>
      <c r="H43" s="102" t="s">
        <v>497</v>
      </c>
      <c r="I43" s="102" t="s">
        <v>135</v>
      </c>
      <c r="J43" s="102" t="s">
        <v>34</v>
      </c>
      <c r="K43" s="102" t="s">
        <v>57</v>
      </c>
      <c r="L43" s="199">
        <v>3.0</v>
      </c>
      <c r="M43" s="200"/>
      <c r="N43" s="87">
        <v>19.920897315</v>
      </c>
      <c r="O43" s="111">
        <f t="shared" si="1"/>
        <v>19.90596413</v>
      </c>
      <c r="P43" s="104">
        <f t="shared" si="2"/>
        <v>3.192160875</v>
      </c>
      <c r="Q43" s="104">
        <f t="shared" si="3"/>
        <v>23.098125</v>
      </c>
      <c r="R43" s="104">
        <f t="shared" si="4"/>
        <v>0.714375</v>
      </c>
      <c r="S43" s="105">
        <f t="shared" si="5"/>
        <v>23.8125</v>
      </c>
      <c r="T43" s="104">
        <f t="shared" si="6"/>
        <v>7.9375</v>
      </c>
      <c r="U43" s="106">
        <v>31.75</v>
      </c>
      <c r="V43" s="106">
        <f t="shared" si="7"/>
        <v>12.7</v>
      </c>
      <c r="W43" s="107">
        <f t="shared" si="8"/>
        <v>1.73101</v>
      </c>
      <c r="X43" s="108">
        <f t="shared" si="9"/>
        <v>33.48101</v>
      </c>
      <c r="Y43" s="93">
        <f t="shared" si="10"/>
        <v>0.01493319</v>
      </c>
      <c r="Z43" s="104">
        <f t="shared" si="11"/>
        <v>0</v>
      </c>
      <c r="AA43" s="104">
        <f t="shared" si="12"/>
        <v>0</v>
      </c>
      <c r="AB43" s="104">
        <f t="shared" si="13"/>
        <v>0</v>
      </c>
      <c r="AC43" s="104">
        <f t="shared" si="14"/>
        <v>0</v>
      </c>
      <c r="AD43" s="105">
        <f t="shared" si="15"/>
        <v>0</v>
      </c>
      <c r="AE43" s="109"/>
      <c r="AF43" s="109"/>
      <c r="AG43" s="109"/>
      <c r="AH43" s="104">
        <f t="shared" si="16"/>
        <v>0</v>
      </c>
      <c r="AI43" s="104">
        <f t="shared" si="17"/>
        <v>0</v>
      </c>
      <c r="AJ43" s="95" t="str">
        <f>IF(Pedido!I53="ATENDE QTD. MÍNIMA",Pedido!H53,"")</f>
        <v/>
      </c>
      <c r="AK43" s="110">
        <f t="shared" si="18"/>
        <v>0</v>
      </c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ht="15.75" customHeight="1">
      <c r="A44" s="98" t="s">
        <v>371</v>
      </c>
      <c r="B44" s="99"/>
      <c r="C44" s="100"/>
      <c r="D44" s="100"/>
      <c r="E44" s="102" t="s">
        <v>501</v>
      </c>
      <c r="F44" s="103">
        <v>43.0</v>
      </c>
      <c r="G44" s="102" t="s">
        <v>143</v>
      </c>
      <c r="H44" s="102" t="s">
        <v>500</v>
      </c>
      <c r="I44" s="102" t="s">
        <v>140</v>
      </c>
      <c r="J44" s="102" t="s">
        <v>34</v>
      </c>
      <c r="K44" s="102" t="s">
        <v>141</v>
      </c>
      <c r="L44" s="199">
        <v>4.0</v>
      </c>
      <c r="M44" s="200"/>
      <c r="N44" s="87">
        <v>11.952538389</v>
      </c>
      <c r="O44" s="111">
        <f t="shared" si="1"/>
        <v>11.94984807</v>
      </c>
      <c r="P44" s="104">
        <f t="shared" si="2"/>
        <v>1.91630193</v>
      </c>
      <c r="Q44" s="104">
        <f t="shared" si="3"/>
        <v>13.86615</v>
      </c>
      <c r="R44" s="104">
        <f t="shared" si="4"/>
        <v>0.42885</v>
      </c>
      <c r="S44" s="105">
        <f t="shared" si="5"/>
        <v>14.295</v>
      </c>
      <c r="T44" s="104">
        <f t="shared" si="6"/>
        <v>4.765</v>
      </c>
      <c r="U44" s="106">
        <v>19.06</v>
      </c>
      <c r="V44" s="106">
        <f t="shared" si="7"/>
        <v>7.624</v>
      </c>
      <c r="W44" s="107">
        <f t="shared" si="8"/>
        <v>1.0391512</v>
      </c>
      <c r="X44" s="108">
        <f t="shared" si="9"/>
        <v>20.0991512</v>
      </c>
      <c r="Y44" s="93">
        <f t="shared" si="10"/>
        <v>0.002690319</v>
      </c>
      <c r="Z44" s="104">
        <f t="shared" si="11"/>
        <v>0</v>
      </c>
      <c r="AA44" s="104">
        <f t="shared" si="12"/>
        <v>0</v>
      </c>
      <c r="AB44" s="104">
        <f t="shared" si="13"/>
        <v>0</v>
      </c>
      <c r="AC44" s="104">
        <f t="shared" si="14"/>
        <v>0</v>
      </c>
      <c r="AD44" s="105">
        <f t="shared" si="15"/>
        <v>0</v>
      </c>
      <c r="AE44" s="109"/>
      <c r="AF44" s="109"/>
      <c r="AG44" s="109"/>
      <c r="AH44" s="104">
        <f t="shared" si="16"/>
        <v>0</v>
      </c>
      <c r="AI44" s="104">
        <f t="shared" si="17"/>
        <v>0</v>
      </c>
      <c r="AJ44" s="95" t="str">
        <f>IF(Pedido!I54="ATENDE QTD. MÍNIMA",Pedido!H54,"")</f>
        <v/>
      </c>
      <c r="AK44" s="110">
        <f t="shared" si="18"/>
        <v>0</v>
      </c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ht="15.75" customHeight="1">
      <c r="A45" s="98" t="s">
        <v>371</v>
      </c>
      <c r="B45" s="99"/>
      <c r="C45" s="100"/>
      <c r="D45" s="100"/>
      <c r="E45" s="102" t="s">
        <v>503</v>
      </c>
      <c r="F45" s="103">
        <v>44.0</v>
      </c>
      <c r="G45" s="102" t="s">
        <v>145</v>
      </c>
      <c r="H45" s="102" t="s">
        <v>144</v>
      </c>
      <c r="I45" s="102" t="s">
        <v>76</v>
      </c>
      <c r="J45" s="102" t="s">
        <v>34</v>
      </c>
      <c r="K45" s="102" t="s">
        <v>57</v>
      </c>
      <c r="L45" s="199">
        <v>0.1</v>
      </c>
      <c r="M45" s="200"/>
      <c r="N45" s="87">
        <v>169.0257954</v>
      </c>
      <c r="O45" s="113">
        <f t="shared" si="1"/>
        <v>169.0258634</v>
      </c>
      <c r="P45" s="104">
        <f t="shared" si="2"/>
        <v>27.10533108</v>
      </c>
      <c r="Q45" s="104">
        <f t="shared" si="3"/>
        <v>196.1311945</v>
      </c>
      <c r="R45" s="104">
        <f t="shared" si="4"/>
        <v>6.065913232</v>
      </c>
      <c r="S45" s="105">
        <f t="shared" si="5"/>
        <v>202.1971077</v>
      </c>
      <c r="T45" s="104">
        <f t="shared" si="6"/>
        <v>67.39903592</v>
      </c>
      <c r="U45" s="106">
        <v>269.596143663</v>
      </c>
      <c r="V45" s="106">
        <f t="shared" si="7"/>
        <v>107.8384575</v>
      </c>
      <c r="W45" s="107">
        <f t="shared" si="8"/>
        <v>14.69838175</v>
      </c>
      <c r="X45" s="108">
        <f t="shared" si="9"/>
        <v>284.2945254</v>
      </c>
      <c r="Y45" s="93">
        <f t="shared" si="10"/>
        <v>-0.00006803288267</v>
      </c>
      <c r="Z45" s="104">
        <f t="shared" si="11"/>
        <v>0</v>
      </c>
      <c r="AA45" s="104">
        <f t="shared" si="12"/>
        <v>0</v>
      </c>
      <c r="AB45" s="104">
        <f t="shared" si="13"/>
        <v>0</v>
      </c>
      <c r="AC45" s="104">
        <f t="shared" si="14"/>
        <v>0</v>
      </c>
      <c r="AD45" s="105">
        <f t="shared" si="15"/>
        <v>0</v>
      </c>
      <c r="AE45" s="109"/>
      <c r="AF45" s="109"/>
      <c r="AG45" s="109"/>
      <c r="AH45" s="104">
        <f t="shared" si="16"/>
        <v>0</v>
      </c>
      <c r="AI45" s="104">
        <f t="shared" si="17"/>
        <v>0</v>
      </c>
      <c r="AJ45" s="95" t="str">
        <f>IF(Pedido!I55="ATENDE QTD. MÍNIMA",Pedido!H55,"")</f>
        <v/>
      </c>
      <c r="AK45" s="110">
        <f t="shared" si="18"/>
        <v>0</v>
      </c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ht="15.75" customHeight="1">
      <c r="A46" s="98" t="s">
        <v>371</v>
      </c>
      <c r="B46" s="99"/>
      <c r="C46" s="100"/>
      <c r="D46" s="100"/>
      <c r="E46" s="102" t="s">
        <v>505</v>
      </c>
      <c r="F46" s="103">
        <v>46.0</v>
      </c>
      <c r="G46" s="102" t="s">
        <v>150</v>
      </c>
      <c r="H46" s="102" t="s">
        <v>149</v>
      </c>
      <c r="I46" s="102" t="s">
        <v>45</v>
      </c>
      <c r="J46" s="102" t="s">
        <v>34</v>
      </c>
      <c r="K46" s="102" t="s">
        <v>35</v>
      </c>
      <c r="L46" s="199">
        <v>0.5</v>
      </c>
      <c r="M46" s="200"/>
      <c r="N46" s="87">
        <v>59.762691945000014</v>
      </c>
      <c r="O46" s="104">
        <f t="shared" si="1"/>
        <v>59.75738298</v>
      </c>
      <c r="P46" s="104">
        <f t="shared" si="2"/>
        <v>9.582815418</v>
      </c>
      <c r="Q46" s="104">
        <f t="shared" si="3"/>
        <v>69.34019839</v>
      </c>
      <c r="R46" s="104">
        <f t="shared" si="4"/>
        <v>2.144542218</v>
      </c>
      <c r="S46" s="105">
        <f t="shared" si="5"/>
        <v>71.48474061</v>
      </c>
      <c r="T46" s="104">
        <f t="shared" si="6"/>
        <v>23.82824687</v>
      </c>
      <c r="U46" s="106">
        <v>95.312987484</v>
      </c>
      <c r="V46" s="106">
        <f t="shared" si="7"/>
        <v>38.12519499</v>
      </c>
      <c r="W46" s="107">
        <f t="shared" si="8"/>
        <v>5.196464078</v>
      </c>
      <c r="X46" s="108">
        <f t="shared" si="9"/>
        <v>100.5094516</v>
      </c>
      <c r="Y46" s="93">
        <f t="shared" si="10"/>
        <v>0.005308968525</v>
      </c>
      <c r="Z46" s="104">
        <f t="shared" si="11"/>
        <v>0</v>
      </c>
      <c r="AA46" s="104">
        <f t="shared" si="12"/>
        <v>0</v>
      </c>
      <c r="AB46" s="104">
        <f t="shared" si="13"/>
        <v>0</v>
      </c>
      <c r="AC46" s="104">
        <f t="shared" si="14"/>
        <v>0</v>
      </c>
      <c r="AD46" s="105">
        <f t="shared" si="15"/>
        <v>0</v>
      </c>
      <c r="AE46" s="109"/>
      <c r="AF46" s="109"/>
      <c r="AG46" s="109"/>
      <c r="AH46" s="104">
        <f t="shared" si="16"/>
        <v>0</v>
      </c>
      <c r="AI46" s="104">
        <f t="shared" si="17"/>
        <v>0</v>
      </c>
      <c r="AJ46" s="95" t="str">
        <f>IF(Pedido!I56="ATENDE QTD. MÍNIMA",Pedido!H56,"")</f>
        <v/>
      </c>
      <c r="AK46" s="110">
        <f t="shared" si="18"/>
        <v>0</v>
      </c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ht="15.75" customHeight="1">
      <c r="A47" s="98" t="s">
        <v>371</v>
      </c>
      <c r="B47" s="99"/>
      <c r="C47" s="100"/>
      <c r="D47" s="114"/>
      <c r="E47" s="102" t="s">
        <v>507</v>
      </c>
      <c r="F47" s="103">
        <v>47.0</v>
      </c>
      <c r="G47" s="102" t="s">
        <v>152</v>
      </c>
      <c r="H47" s="102" t="s">
        <v>151</v>
      </c>
      <c r="I47" s="102" t="s">
        <v>41</v>
      </c>
      <c r="J47" s="102" t="s">
        <v>42</v>
      </c>
      <c r="K47" s="121" t="s">
        <v>415</v>
      </c>
      <c r="L47" s="199">
        <v>1.0</v>
      </c>
      <c r="M47" s="200"/>
      <c r="N47" s="87">
        <v>83.864</v>
      </c>
      <c r="O47" s="111">
        <f t="shared" si="1"/>
        <v>83.86837232</v>
      </c>
      <c r="P47" s="104">
        <f t="shared" si="2"/>
        <v>13.44930269</v>
      </c>
      <c r="Q47" s="104">
        <f t="shared" si="3"/>
        <v>97.317675</v>
      </c>
      <c r="R47" s="104">
        <f t="shared" si="4"/>
        <v>3.009825</v>
      </c>
      <c r="S47" s="105">
        <f t="shared" si="5"/>
        <v>100.3275</v>
      </c>
      <c r="T47" s="104">
        <f t="shared" si="6"/>
        <v>33.4425</v>
      </c>
      <c r="U47" s="106">
        <v>133.77</v>
      </c>
      <c r="V47" s="106">
        <f t="shared" si="7"/>
        <v>53.508</v>
      </c>
      <c r="W47" s="107">
        <f t="shared" si="8"/>
        <v>7.2931404</v>
      </c>
      <c r="X47" s="108">
        <f t="shared" si="9"/>
        <v>141.0631404</v>
      </c>
      <c r="Y47" s="93">
        <f t="shared" si="10"/>
        <v>-0.004372315</v>
      </c>
      <c r="Z47" s="104">
        <f t="shared" si="11"/>
        <v>0</v>
      </c>
      <c r="AA47" s="104">
        <f t="shared" si="12"/>
        <v>0</v>
      </c>
      <c r="AB47" s="104">
        <f t="shared" si="13"/>
        <v>0</v>
      </c>
      <c r="AC47" s="104">
        <f t="shared" si="14"/>
        <v>0</v>
      </c>
      <c r="AD47" s="105">
        <f t="shared" si="15"/>
        <v>0</v>
      </c>
      <c r="AE47" s="109"/>
      <c r="AF47" s="109"/>
      <c r="AG47" s="109"/>
      <c r="AH47" s="104">
        <f t="shared" si="16"/>
        <v>0</v>
      </c>
      <c r="AI47" s="104">
        <f t="shared" si="17"/>
        <v>0</v>
      </c>
      <c r="AJ47" s="95" t="str">
        <f>IF(Pedido!I57="ATENDE QTD. MÍNIMA",Pedido!H57,"")</f>
        <v/>
      </c>
      <c r="AK47" s="110">
        <f t="shared" si="18"/>
        <v>0</v>
      </c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ht="15.75" customHeight="1">
      <c r="A48" s="98" t="s">
        <v>371</v>
      </c>
      <c r="B48" s="99"/>
      <c r="C48" s="100"/>
      <c r="D48" s="100"/>
      <c r="E48" s="102" t="s">
        <v>510</v>
      </c>
      <c r="F48" s="103">
        <v>48.0</v>
      </c>
      <c r="G48" s="102" t="s">
        <v>156</v>
      </c>
      <c r="H48" s="102" t="s">
        <v>509</v>
      </c>
      <c r="I48" s="102" t="s">
        <v>45</v>
      </c>
      <c r="J48" s="102" t="s">
        <v>34</v>
      </c>
      <c r="K48" s="117" t="s">
        <v>415</v>
      </c>
      <c r="L48" s="199">
        <v>0.5</v>
      </c>
      <c r="M48" s="200"/>
      <c r="N48" s="87">
        <v>59.76269194500001</v>
      </c>
      <c r="O48" s="113">
        <f t="shared" si="1"/>
        <v>59.75738298</v>
      </c>
      <c r="P48" s="104">
        <f t="shared" si="2"/>
        <v>9.582815418</v>
      </c>
      <c r="Q48" s="104">
        <f t="shared" si="3"/>
        <v>69.34019839</v>
      </c>
      <c r="R48" s="104">
        <f t="shared" si="4"/>
        <v>2.144542218</v>
      </c>
      <c r="S48" s="105">
        <f t="shared" si="5"/>
        <v>71.48474061</v>
      </c>
      <c r="T48" s="104">
        <f t="shared" si="6"/>
        <v>23.82824687</v>
      </c>
      <c r="U48" s="106">
        <v>95.312987484</v>
      </c>
      <c r="V48" s="106">
        <f t="shared" si="7"/>
        <v>38.12519499</v>
      </c>
      <c r="W48" s="107">
        <f t="shared" si="8"/>
        <v>5.196464078</v>
      </c>
      <c r="X48" s="108">
        <f t="shared" si="9"/>
        <v>100.5094516</v>
      </c>
      <c r="Y48" s="93">
        <f t="shared" si="10"/>
        <v>0.005308968525</v>
      </c>
      <c r="Z48" s="104">
        <f t="shared" si="11"/>
        <v>0</v>
      </c>
      <c r="AA48" s="104">
        <f t="shared" si="12"/>
        <v>0</v>
      </c>
      <c r="AB48" s="104">
        <f t="shared" si="13"/>
        <v>0</v>
      </c>
      <c r="AC48" s="104">
        <f t="shared" si="14"/>
        <v>0</v>
      </c>
      <c r="AD48" s="105">
        <f t="shared" si="15"/>
        <v>0</v>
      </c>
      <c r="AE48" s="109"/>
      <c r="AF48" s="109"/>
      <c r="AG48" s="109"/>
      <c r="AH48" s="104">
        <f t="shared" si="16"/>
        <v>0</v>
      </c>
      <c r="AI48" s="104">
        <f t="shared" si="17"/>
        <v>0</v>
      </c>
      <c r="AJ48" s="95" t="str">
        <f>IF(Pedido!I58="ATENDE QTD. MÍNIMA",Pedido!H58,"")</f>
        <v/>
      </c>
      <c r="AK48" s="110">
        <f t="shared" si="18"/>
        <v>0</v>
      </c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ht="15.75" customHeight="1">
      <c r="A49" s="98" t="s">
        <v>371</v>
      </c>
      <c r="B49" s="99"/>
      <c r="C49" s="100"/>
      <c r="D49" s="100"/>
      <c r="E49" s="102" t="s">
        <v>512</v>
      </c>
      <c r="F49" s="103">
        <v>49.0</v>
      </c>
      <c r="G49" s="102" t="s">
        <v>158</v>
      </c>
      <c r="H49" s="102" t="s">
        <v>157</v>
      </c>
      <c r="I49" s="102" t="s">
        <v>33</v>
      </c>
      <c r="J49" s="102" t="s">
        <v>34</v>
      </c>
      <c r="K49" s="102" t="s">
        <v>35</v>
      </c>
      <c r="L49" s="199">
        <v>0.1</v>
      </c>
      <c r="M49" s="200"/>
      <c r="N49" s="87">
        <v>132.80598210000002</v>
      </c>
      <c r="O49" s="104">
        <f t="shared" si="1"/>
        <v>132.8060356</v>
      </c>
      <c r="P49" s="104">
        <f t="shared" si="2"/>
        <v>21.29704585</v>
      </c>
      <c r="Q49" s="104">
        <f t="shared" si="3"/>
        <v>154.1030814</v>
      </c>
      <c r="R49" s="104">
        <f t="shared" si="4"/>
        <v>4.766074683</v>
      </c>
      <c r="S49" s="105">
        <f t="shared" si="5"/>
        <v>158.8691561</v>
      </c>
      <c r="T49" s="104">
        <f t="shared" si="6"/>
        <v>52.95638536</v>
      </c>
      <c r="U49" s="106">
        <v>211.82554144950004</v>
      </c>
      <c r="V49" s="106">
        <f t="shared" si="7"/>
        <v>84.73021658</v>
      </c>
      <c r="W49" s="107">
        <f t="shared" si="8"/>
        <v>11.54872852</v>
      </c>
      <c r="X49" s="108">
        <f t="shared" si="9"/>
        <v>223.37427</v>
      </c>
      <c r="Y49" s="93">
        <f t="shared" si="10"/>
        <v>-0.00005345440781</v>
      </c>
      <c r="Z49" s="104">
        <f t="shared" si="11"/>
        <v>0</v>
      </c>
      <c r="AA49" s="104">
        <f t="shared" si="12"/>
        <v>0</v>
      </c>
      <c r="AB49" s="104">
        <f t="shared" si="13"/>
        <v>0</v>
      </c>
      <c r="AC49" s="104">
        <f t="shared" si="14"/>
        <v>0</v>
      </c>
      <c r="AD49" s="105">
        <f t="shared" si="15"/>
        <v>0</v>
      </c>
      <c r="AE49" s="109"/>
      <c r="AF49" s="109"/>
      <c r="AG49" s="109"/>
      <c r="AH49" s="104">
        <f t="shared" si="16"/>
        <v>0</v>
      </c>
      <c r="AI49" s="104">
        <f t="shared" si="17"/>
        <v>0</v>
      </c>
      <c r="AJ49" s="95" t="str">
        <f>IF(Pedido!I59="ATENDE QTD. MÍNIMA",Pedido!H59,"")</f>
        <v/>
      </c>
      <c r="AK49" s="110">
        <f t="shared" si="18"/>
        <v>0</v>
      </c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ht="15.75" customHeight="1">
      <c r="A50" s="98" t="s">
        <v>371</v>
      </c>
      <c r="B50" s="99"/>
      <c r="C50" s="100"/>
      <c r="D50" s="100"/>
      <c r="E50" s="102" t="s">
        <v>515</v>
      </c>
      <c r="F50" s="103">
        <v>50.0</v>
      </c>
      <c r="G50" s="102" t="s">
        <v>161</v>
      </c>
      <c r="H50" s="102" t="s">
        <v>514</v>
      </c>
      <c r="I50" s="102" t="s">
        <v>159</v>
      </c>
      <c r="J50" s="102" t="s">
        <v>94</v>
      </c>
      <c r="K50" s="102" t="s">
        <v>35</v>
      </c>
      <c r="L50" s="199">
        <v>0.1</v>
      </c>
      <c r="M50" s="200"/>
      <c r="N50" s="87">
        <v>126.16568299500004</v>
      </c>
      <c r="O50" s="111">
        <f t="shared" si="1"/>
        <v>126.1693298</v>
      </c>
      <c r="P50" s="104">
        <f t="shared" si="2"/>
        <v>20.23277022</v>
      </c>
      <c r="Q50" s="104">
        <f t="shared" si="3"/>
        <v>146.4021</v>
      </c>
      <c r="R50" s="104">
        <f t="shared" si="4"/>
        <v>4.5279</v>
      </c>
      <c r="S50" s="105">
        <f t="shared" si="5"/>
        <v>150.93</v>
      </c>
      <c r="T50" s="104">
        <f t="shared" si="6"/>
        <v>50.31</v>
      </c>
      <c r="U50" s="106">
        <v>201.24</v>
      </c>
      <c r="V50" s="106">
        <f t="shared" si="7"/>
        <v>80.496</v>
      </c>
      <c r="W50" s="107">
        <f t="shared" si="8"/>
        <v>10.9716048</v>
      </c>
      <c r="X50" s="108">
        <f t="shared" si="9"/>
        <v>212.2116048</v>
      </c>
      <c r="Y50" s="93">
        <f t="shared" si="10"/>
        <v>-0.003646785</v>
      </c>
      <c r="Z50" s="104">
        <f t="shared" si="11"/>
        <v>0</v>
      </c>
      <c r="AA50" s="104">
        <f t="shared" si="12"/>
        <v>0</v>
      </c>
      <c r="AB50" s="104">
        <f t="shared" si="13"/>
        <v>0</v>
      </c>
      <c r="AC50" s="104">
        <f t="shared" si="14"/>
        <v>0</v>
      </c>
      <c r="AD50" s="105">
        <f t="shared" si="15"/>
        <v>0</v>
      </c>
      <c r="AE50" s="109"/>
      <c r="AF50" s="109"/>
      <c r="AG50" s="109"/>
      <c r="AH50" s="104">
        <f t="shared" si="16"/>
        <v>0</v>
      </c>
      <c r="AI50" s="104">
        <f t="shared" si="17"/>
        <v>0</v>
      </c>
      <c r="AJ50" s="95" t="str">
        <f>IF(Pedido!I60="ATENDE QTD. MÍNIMA",Pedido!H60,"")</f>
        <v/>
      </c>
      <c r="AK50" s="110">
        <f t="shared" si="18"/>
        <v>0</v>
      </c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ht="15.75" customHeight="1">
      <c r="A51" s="98" t="s">
        <v>371</v>
      </c>
      <c r="B51" s="99"/>
      <c r="C51" s="100"/>
      <c r="D51" s="100"/>
      <c r="E51" s="102" t="s">
        <v>518</v>
      </c>
      <c r="F51" s="103">
        <v>52.0</v>
      </c>
      <c r="G51" s="102" t="s">
        <v>172</v>
      </c>
      <c r="H51" s="102" t="s">
        <v>517</v>
      </c>
      <c r="I51" s="102" t="s">
        <v>45</v>
      </c>
      <c r="J51" s="102" t="s">
        <v>34</v>
      </c>
      <c r="K51" s="102" t="s">
        <v>118</v>
      </c>
      <c r="L51" s="199">
        <v>1.0</v>
      </c>
      <c r="M51" s="200"/>
      <c r="N51" s="87">
        <v>76.829907</v>
      </c>
      <c r="O51" s="113">
        <f t="shared" si="1"/>
        <v>76.8230566</v>
      </c>
      <c r="P51" s="104">
        <f t="shared" si="2"/>
        <v>12.31950153</v>
      </c>
      <c r="Q51" s="104">
        <f t="shared" si="3"/>
        <v>89.14255814</v>
      </c>
      <c r="R51" s="104">
        <f t="shared" si="4"/>
        <v>2.756986334</v>
      </c>
      <c r="S51" s="105">
        <f t="shared" si="5"/>
        <v>91.89954447</v>
      </c>
      <c r="T51" s="104">
        <f t="shared" si="6"/>
        <v>30.63318149</v>
      </c>
      <c r="U51" s="106">
        <v>122.532725964</v>
      </c>
      <c r="V51" s="106">
        <f t="shared" si="7"/>
        <v>49.01309039</v>
      </c>
      <c r="W51" s="107">
        <f t="shared" si="8"/>
        <v>6.68048422</v>
      </c>
      <c r="X51" s="108">
        <f t="shared" si="9"/>
        <v>129.2132102</v>
      </c>
      <c r="Y51" s="93">
        <f t="shared" si="10"/>
        <v>0.006850395974</v>
      </c>
      <c r="Z51" s="104">
        <f t="shared" si="11"/>
        <v>0</v>
      </c>
      <c r="AA51" s="104">
        <f t="shared" si="12"/>
        <v>0</v>
      </c>
      <c r="AB51" s="104">
        <f t="shared" si="13"/>
        <v>0</v>
      </c>
      <c r="AC51" s="104">
        <f t="shared" si="14"/>
        <v>0</v>
      </c>
      <c r="AD51" s="105">
        <f t="shared" si="15"/>
        <v>0</v>
      </c>
      <c r="AE51" s="109"/>
      <c r="AF51" s="109"/>
      <c r="AG51" s="109"/>
      <c r="AH51" s="104">
        <f t="shared" si="16"/>
        <v>0</v>
      </c>
      <c r="AI51" s="104">
        <f t="shared" si="17"/>
        <v>0</v>
      </c>
      <c r="AJ51" s="95" t="str">
        <f>IF(Pedido!I61="ATENDE QTD. MÍNIMA",Pedido!H61,"")</f>
        <v/>
      </c>
      <c r="AK51" s="110">
        <f t="shared" si="18"/>
        <v>0</v>
      </c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ht="15.75" customHeight="1">
      <c r="A52" s="98" t="s">
        <v>371</v>
      </c>
      <c r="B52" s="99"/>
      <c r="C52" s="100"/>
      <c r="D52" s="100"/>
      <c r="E52" s="102" t="s">
        <v>520</v>
      </c>
      <c r="F52" s="103">
        <v>53.0</v>
      </c>
      <c r="G52" s="102" t="s">
        <v>177</v>
      </c>
      <c r="H52" s="102" t="s">
        <v>176</v>
      </c>
      <c r="I52" s="102" t="s">
        <v>175</v>
      </c>
      <c r="J52" s="102" t="s">
        <v>34</v>
      </c>
      <c r="K52" s="102" t="s">
        <v>35</v>
      </c>
      <c r="L52" s="199">
        <v>2.0</v>
      </c>
      <c r="M52" s="200"/>
      <c r="N52" s="87">
        <v>106.24478568</v>
      </c>
      <c r="O52" s="113">
        <f t="shared" si="1"/>
        <v>106.2448284</v>
      </c>
      <c r="P52" s="104">
        <f t="shared" si="2"/>
        <v>17.03763668</v>
      </c>
      <c r="Q52" s="104">
        <f t="shared" si="3"/>
        <v>123.2824651</v>
      </c>
      <c r="R52" s="104">
        <f t="shared" si="4"/>
        <v>3.812859746</v>
      </c>
      <c r="S52" s="105">
        <f t="shared" si="5"/>
        <v>127.0953249</v>
      </c>
      <c r="T52" s="104">
        <f t="shared" si="6"/>
        <v>42.36510829</v>
      </c>
      <c r="U52" s="106">
        <v>169.4604331596</v>
      </c>
      <c r="V52" s="106">
        <f t="shared" si="7"/>
        <v>67.78417326</v>
      </c>
      <c r="W52" s="107">
        <f t="shared" si="8"/>
        <v>9.238982816</v>
      </c>
      <c r="X52" s="108">
        <f t="shared" si="9"/>
        <v>178.699416</v>
      </c>
      <c r="Y52" s="93">
        <f t="shared" si="10"/>
        <v>-0.00004276352624</v>
      </c>
      <c r="Z52" s="104">
        <f t="shared" si="11"/>
        <v>0</v>
      </c>
      <c r="AA52" s="104">
        <f t="shared" si="12"/>
        <v>0</v>
      </c>
      <c r="AB52" s="104">
        <f t="shared" si="13"/>
        <v>0</v>
      </c>
      <c r="AC52" s="104">
        <f t="shared" si="14"/>
        <v>0</v>
      </c>
      <c r="AD52" s="105">
        <f t="shared" si="15"/>
        <v>0</v>
      </c>
      <c r="AE52" s="109"/>
      <c r="AF52" s="109"/>
      <c r="AG52" s="109"/>
      <c r="AH52" s="104">
        <f t="shared" si="16"/>
        <v>0</v>
      </c>
      <c r="AI52" s="104">
        <f t="shared" si="17"/>
        <v>0</v>
      </c>
      <c r="AJ52" s="95" t="str">
        <f>IF(Pedido!I62="ATENDE QTD. MÍNIMA",Pedido!H62,"")</f>
        <v/>
      </c>
      <c r="AK52" s="110">
        <f t="shared" si="18"/>
        <v>0</v>
      </c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ht="15.75" customHeight="1">
      <c r="A53" s="98" t="s">
        <v>371</v>
      </c>
      <c r="B53" s="99"/>
      <c r="C53" s="100"/>
      <c r="D53" s="100"/>
      <c r="E53" s="102" t="s">
        <v>522</v>
      </c>
      <c r="F53" s="103">
        <v>54.0</v>
      </c>
      <c r="G53" s="102" t="s">
        <v>180</v>
      </c>
      <c r="H53" s="102" t="s">
        <v>179</v>
      </c>
      <c r="I53" s="102" t="s">
        <v>178</v>
      </c>
      <c r="J53" s="102" t="s">
        <v>34</v>
      </c>
      <c r="K53" s="117" t="s">
        <v>415</v>
      </c>
      <c r="L53" s="199">
        <v>0.1</v>
      </c>
      <c r="M53" s="200"/>
      <c r="N53" s="87">
        <v>142.68411300000002</v>
      </c>
      <c r="O53" s="104">
        <f t="shared" si="1"/>
        <v>142.6772891</v>
      </c>
      <c r="P53" s="104">
        <f t="shared" si="2"/>
        <v>22.88002014</v>
      </c>
      <c r="Q53" s="104">
        <f t="shared" si="3"/>
        <v>165.5573092</v>
      </c>
      <c r="R53" s="104">
        <f t="shared" si="4"/>
        <v>5.120329152</v>
      </c>
      <c r="S53" s="105">
        <f t="shared" si="5"/>
        <v>170.6776384</v>
      </c>
      <c r="T53" s="104">
        <f t="shared" si="6"/>
        <v>56.89254613</v>
      </c>
      <c r="U53" s="106">
        <v>227.570184534</v>
      </c>
      <c r="V53" s="106">
        <f t="shared" si="7"/>
        <v>91.02807381</v>
      </c>
      <c r="W53" s="107">
        <f t="shared" si="8"/>
        <v>12.40712646</v>
      </c>
      <c r="X53" s="108">
        <f t="shared" si="9"/>
        <v>239.977311</v>
      </c>
      <c r="Y53" s="93">
        <f t="shared" si="10"/>
        <v>0.006823889656</v>
      </c>
      <c r="Z53" s="104">
        <f t="shared" si="11"/>
        <v>0</v>
      </c>
      <c r="AA53" s="104">
        <f t="shared" si="12"/>
        <v>0</v>
      </c>
      <c r="AB53" s="104">
        <f t="shared" si="13"/>
        <v>0</v>
      </c>
      <c r="AC53" s="104">
        <f t="shared" si="14"/>
        <v>0</v>
      </c>
      <c r="AD53" s="105">
        <f t="shared" si="15"/>
        <v>0</v>
      </c>
      <c r="AE53" s="109"/>
      <c r="AF53" s="109"/>
      <c r="AG53" s="109"/>
      <c r="AH53" s="104">
        <f t="shared" si="16"/>
        <v>0</v>
      </c>
      <c r="AI53" s="104">
        <f t="shared" si="17"/>
        <v>0</v>
      </c>
      <c r="AJ53" s="95" t="str">
        <f>IF(Pedido!I63="ATENDE QTD. MÍNIMA",Pedido!H63,"")</f>
        <v/>
      </c>
      <c r="AK53" s="110">
        <f t="shared" si="18"/>
        <v>0</v>
      </c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ht="15.75" customHeight="1">
      <c r="A54" s="98" t="s">
        <v>371</v>
      </c>
      <c r="B54" s="99"/>
      <c r="C54" s="100"/>
      <c r="D54" s="100"/>
      <c r="E54" s="102" t="s">
        <v>524</v>
      </c>
      <c r="F54" s="103">
        <v>55.0</v>
      </c>
      <c r="G54" s="102" t="s">
        <v>182</v>
      </c>
      <c r="H54" s="102" t="s">
        <v>181</v>
      </c>
      <c r="I54" s="102" t="s">
        <v>45</v>
      </c>
      <c r="J54" s="102" t="s">
        <v>34</v>
      </c>
      <c r="K54" s="102" t="s">
        <v>35</v>
      </c>
      <c r="L54" s="199">
        <v>0.5</v>
      </c>
      <c r="M54" s="200"/>
      <c r="N54" s="87">
        <v>241.46542200000005</v>
      </c>
      <c r="O54" s="104">
        <f t="shared" si="1"/>
        <v>241.4655192</v>
      </c>
      <c r="P54" s="104">
        <f t="shared" si="2"/>
        <v>38.72190155</v>
      </c>
      <c r="Q54" s="104">
        <f t="shared" si="3"/>
        <v>280.1874207</v>
      </c>
      <c r="R54" s="104">
        <f t="shared" si="4"/>
        <v>8.665590332</v>
      </c>
      <c r="S54" s="105">
        <f t="shared" si="5"/>
        <v>288.8530111</v>
      </c>
      <c r="T54" s="104">
        <f t="shared" si="6"/>
        <v>96.28433702</v>
      </c>
      <c r="U54" s="106">
        <v>385.13734809000005</v>
      </c>
      <c r="V54" s="106">
        <f t="shared" si="7"/>
        <v>154.0549392</v>
      </c>
      <c r="W54" s="107">
        <f t="shared" si="8"/>
        <v>20.99768822</v>
      </c>
      <c r="X54" s="108">
        <f t="shared" si="9"/>
        <v>406.1350363</v>
      </c>
      <c r="Y54" s="93">
        <f t="shared" si="10"/>
        <v>-0.00009718983233</v>
      </c>
      <c r="Z54" s="104">
        <f t="shared" si="11"/>
        <v>0</v>
      </c>
      <c r="AA54" s="104">
        <f t="shared" si="12"/>
        <v>0</v>
      </c>
      <c r="AB54" s="104">
        <f t="shared" si="13"/>
        <v>0</v>
      </c>
      <c r="AC54" s="104">
        <f t="shared" si="14"/>
        <v>0</v>
      </c>
      <c r="AD54" s="105">
        <f t="shared" si="15"/>
        <v>0</v>
      </c>
      <c r="AE54" s="109"/>
      <c r="AF54" s="109"/>
      <c r="AG54" s="109"/>
      <c r="AH54" s="104">
        <f t="shared" si="16"/>
        <v>0</v>
      </c>
      <c r="AI54" s="104">
        <f t="shared" si="17"/>
        <v>0</v>
      </c>
      <c r="AJ54" s="95" t="str">
        <f>IF(Pedido!I64="ATENDE QTD. MÍNIMA",Pedido!H64,"")</f>
        <v/>
      </c>
      <c r="AK54" s="110">
        <f t="shared" si="18"/>
        <v>0</v>
      </c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ht="15.75" customHeight="1">
      <c r="A55" s="98" t="s">
        <v>371</v>
      </c>
      <c r="B55" s="99"/>
      <c r="C55" s="100"/>
      <c r="D55" s="100"/>
      <c r="E55" s="102" t="s">
        <v>526</v>
      </c>
      <c r="F55" s="103">
        <v>56.0</v>
      </c>
      <c r="G55" s="102" t="s">
        <v>184</v>
      </c>
      <c r="H55" s="102" t="s">
        <v>183</v>
      </c>
      <c r="I55" s="102" t="s">
        <v>45</v>
      </c>
      <c r="J55" s="102" t="s">
        <v>42</v>
      </c>
      <c r="K55" s="102" t="s">
        <v>118</v>
      </c>
      <c r="L55" s="199">
        <v>2.0</v>
      </c>
      <c r="M55" s="200"/>
      <c r="N55" s="87">
        <v>42.0</v>
      </c>
      <c r="O55" s="104">
        <f t="shared" si="1"/>
        <v>41.99725344</v>
      </c>
      <c r="P55" s="104">
        <f t="shared" si="2"/>
        <v>6.734764939</v>
      </c>
      <c r="Q55" s="104">
        <f t="shared" si="3"/>
        <v>48.73201838</v>
      </c>
      <c r="R55" s="104">
        <f t="shared" si="4"/>
        <v>1.507175826</v>
      </c>
      <c r="S55" s="105">
        <f t="shared" si="5"/>
        <v>50.2391942</v>
      </c>
      <c r="T55" s="104">
        <f t="shared" si="6"/>
        <v>16.74639807</v>
      </c>
      <c r="U55" s="118">
        <v>66.98559226864506</v>
      </c>
      <c r="V55" s="106">
        <f t="shared" si="7"/>
        <v>26.79423691</v>
      </c>
      <c r="W55" s="107">
        <f t="shared" si="8"/>
        <v>3.65205449</v>
      </c>
      <c r="X55" s="108">
        <f t="shared" si="9"/>
        <v>70.63764676</v>
      </c>
      <c r="Y55" s="93">
        <f t="shared" si="10"/>
        <v>0.002746564046</v>
      </c>
      <c r="Z55" s="104">
        <f t="shared" si="11"/>
        <v>0</v>
      </c>
      <c r="AA55" s="104">
        <f t="shared" si="12"/>
        <v>0</v>
      </c>
      <c r="AB55" s="104">
        <f t="shared" si="13"/>
        <v>0</v>
      </c>
      <c r="AC55" s="104">
        <f t="shared" si="14"/>
        <v>0</v>
      </c>
      <c r="AD55" s="105">
        <f t="shared" si="15"/>
        <v>0</v>
      </c>
      <c r="AE55" s="109"/>
      <c r="AF55" s="109"/>
      <c r="AG55" s="109"/>
      <c r="AH55" s="104">
        <f t="shared" si="16"/>
        <v>0</v>
      </c>
      <c r="AI55" s="104">
        <f t="shared" si="17"/>
        <v>0</v>
      </c>
      <c r="AJ55" s="95" t="str">
        <f>IF(Pedido!I65="ATENDE QTD. MÍNIMA",Pedido!H65,"")</f>
        <v/>
      </c>
      <c r="AK55" s="110">
        <f t="shared" si="18"/>
        <v>0</v>
      </c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ht="15.75" customHeight="1">
      <c r="A56" s="98" t="s">
        <v>371</v>
      </c>
      <c r="B56" s="99"/>
      <c r="C56" s="100"/>
      <c r="D56" s="100"/>
      <c r="E56" s="114"/>
      <c r="F56" s="103">
        <v>112.0</v>
      </c>
      <c r="G56" s="102" t="s">
        <v>186</v>
      </c>
      <c r="H56" s="102" t="s">
        <v>185</v>
      </c>
      <c r="I56" s="102" t="s">
        <v>41</v>
      </c>
      <c r="J56" s="102" t="s">
        <v>42</v>
      </c>
      <c r="K56" s="123" t="s">
        <v>415</v>
      </c>
      <c r="L56" s="199">
        <v>0.1</v>
      </c>
      <c r="M56" s="200"/>
      <c r="N56" s="87">
        <v>199.20897315000002</v>
      </c>
      <c r="O56" s="111">
        <f t="shared" si="1"/>
        <v>199.2101115</v>
      </c>
      <c r="P56" s="104">
        <f t="shared" si="2"/>
        <v>31.94573847</v>
      </c>
      <c r="Q56" s="104">
        <f t="shared" si="3"/>
        <v>231.15585</v>
      </c>
      <c r="R56" s="104">
        <f t="shared" si="4"/>
        <v>7.14915</v>
      </c>
      <c r="S56" s="105">
        <f t="shared" si="5"/>
        <v>238.305</v>
      </c>
      <c r="T56" s="104">
        <f t="shared" si="6"/>
        <v>79.435</v>
      </c>
      <c r="U56" s="106">
        <v>317.74</v>
      </c>
      <c r="V56" s="106">
        <f t="shared" si="7"/>
        <v>127.096</v>
      </c>
      <c r="W56" s="107">
        <f t="shared" si="8"/>
        <v>17.3231848</v>
      </c>
      <c r="X56" s="108">
        <f t="shared" si="9"/>
        <v>335.0631848</v>
      </c>
      <c r="Y56" s="93">
        <f t="shared" si="10"/>
        <v>-0.00113838</v>
      </c>
      <c r="Z56" s="104">
        <f t="shared" si="11"/>
        <v>0</v>
      </c>
      <c r="AA56" s="104">
        <f t="shared" si="12"/>
        <v>0</v>
      </c>
      <c r="AB56" s="104">
        <f t="shared" si="13"/>
        <v>0</v>
      </c>
      <c r="AC56" s="104">
        <f t="shared" si="14"/>
        <v>0</v>
      </c>
      <c r="AD56" s="105">
        <f t="shared" si="15"/>
        <v>0</v>
      </c>
      <c r="AE56" s="109"/>
      <c r="AF56" s="109"/>
      <c r="AG56" s="109"/>
      <c r="AH56" s="104">
        <f t="shared" si="16"/>
        <v>0</v>
      </c>
      <c r="AI56" s="104">
        <f t="shared" si="17"/>
        <v>0</v>
      </c>
      <c r="AJ56" s="95" t="str">
        <f>IF(Pedido!I66="ATENDE QTD. MÍNIMA",Pedido!H66,"")</f>
        <v/>
      </c>
      <c r="AK56" s="110">
        <f t="shared" si="18"/>
        <v>0</v>
      </c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ht="15.75" customHeight="1">
      <c r="A57" s="98" t="s">
        <v>371</v>
      </c>
      <c r="B57" s="99"/>
      <c r="C57" s="100"/>
      <c r="D57" s="116" t="s">
        <v>372</v>
      </c>
      <c r="E57" s="102" t="s">
        <v>529</v>
      </c>
      <c r="F57" s="103">
        <v>57.0</v>
      </c>
      <c r="G57" s="102" t="s">
        <v>188</v>
      </c>
      <c r="H57" s="102" t="s">
        <v>187</v>
      </c>
      <c r="I57" s="102" t="s">
        <v>531</v>
      </c>
      <c r="J57" s="102" t="s">
        <v>34</v>
      </c>
      <c r="K57" s="121" t="s">
        <v>415</v>
      </c>
      <c r="L57" s="199">
        <v>3.0</v>
      </c>
      <c r="M57" s="200"/>
      <c r="N57" s="87">
        <v>164.635515</v>
      </c>
      <c r="O57" s="104">
        <f t="shared" si="1"/>
        <v>164.6286999</v>
      </c>
      <c r="P57" s="104">
        <f t="shared" si="2"/>
        <v>26.40019301</v>
      </c>
      <c r="Q57" s="104">
        <f t="shared" si="3"/>
        <v>191.028893</v>
      </c>
      <c r="R57" s="104">
        <f t="shared" si="4"/>
        <v>5.908110091</v>
      </c>
      <c r="S57" s="105">
        <f t="shared" si="5"/>
        <v>196.937003</v>
      </c>
      <c r="T57" s="104">
        <f t="shared" si="6"/>
        <v>65.64566768</v>
      </c>
      <c r="U57" s="106">
        <v>262.582670724</v>
      </c>
      <c r="V57" s="106">
        <f t="shared" si="7"/>
        <v>105.0330683</v>
      </c>
      <c r="W57" s="107">
        <f t="shared" si="8"/>
        <v>14.31600721</v>
      </c>
      <c r="X57" s="108">
        <f t="shared" si="9"/>
        <v>276.8986779</v>
      </c>
      <c r="Y57" s="93">
        <f t="shared" si="10"/>
        <v>0.006815054216</v>
      </c>
      <c r="Z57" s="104">
        <f t="shared" si="11"/>
        <v>0</v>
      </c>
      <c r="AA57" s="104">
        <f t="shared" si="12"/>
        <v>0</v>
      </c>
      <c r="AB57" s="104">
        <f t="shared" si="13"/>
        <v>0</v>
      </c>
      <c r="AC57" s="104">
        <f t="shared" si="14"/>
        <v>0</v>
      </c>
      <c r="AD57" s="105">
        <f t="shared" si="15"/>
        <v>0</v>
      </c>
      <c r="AE57" s="109"/>
      <c r="AF57" s="109"/>
      <c r="AG57" s="109"/>
      <c r="AH57" s="104">
        <f t="shared" si="16"/>
        <v>0</v>
      </c>
      <c r="AI57" s="104">
        <f t="shared" si="17"/>
        <v>0</v>
      </c>
      <c r="AJ57" s="95" t="str">
        <f>IF(Pedido!I67="ATENDE QTD. MÍNIMA",Pedido!H67,"")</f>
        <v/>
      </c>
      <c r="AK57" s="110">
        <f t="shared" si="18"/>
        <v>0</v>
      </c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ht="15.75" customHeight="1">
      <c r="A58" s="98" t="s">
        <v>371</v>
      </c>
      <c r="B58" s="99"/>
      <c r="C58" s="100"/>
      <c r="D58" s="100"/>
      <c r="E58" s="102" t="s">
        <v>532</v>
      </c>
      <c r="F58" s="103">
        <v>60.0</v>
      </c>
      <c r="G58" s="102" t="s">
        <v>191</v>
      </c>
      <c r="H58" s="102" t="s">
        <v>190</v>
      </c>
      <c r="I58" s="102" t="s">
        <v>534</v>
      </c>
      <c r="J58" s="102" t="s">
        <v>34</v>
      </c>
      <c r="K58" s="102" t="s">
        <v>35</v>
      </c>
      <c r="L58" s="199">
        <v>0.1</v>
      </c>
      <c r="M58" s="200"/>
      <c r="N58" s="87">
        <v>54.878505000000004</v>
      </c>
      <c r="O58" s="104">
        <f t="shared" si="1"/>
        <v>54.87852709</v>
      </c>
      <c r="P58" s="104">
        <f t="shared" si="2"/>
        <v>8.800432169</v>
      </c>
      <c r="Q58" s="104">
        <f t="shared" si="3"/>
        <v>63.67895926</v>
      </c>
      <c r="R58" s="104">
        <f t="shared" si="4"/>
        <v>1.969452348</v>
      </c>
      <c r="S58" s="105">
        <f t="shared" si="5"/>
        <v>65.64841161</v>
      </c>
      <c r="T58" s="104">
        <f t="shared" si="6"/>
        <v>21.88280387</v>
      </c>
      <c r="U58" s="106">
        <v>87.531215475</v>
      </c>
      <c r="V58" s="106">
        <f t="shared" si="7"/>
        <v>35.01248619</v>
      </c>
      <c r="W58" s="107">
        <f t="shared" si="8"/>
        <v>4.772201868</v>
      </c>
      <c r="X58" s="108">
        <f t="shared" si="9"/>
        <v>92.30341734</v>
      </c>
      <c r="Y58" s="93">
        <f t="shared" si="10"/>
        <v>-0.00002208859825</v>
      </c>
      <c r="Z58" s="104">
        <f t="shared" si="11"/>
        <v>0</v>
      </c>
      <c r="AA58" s="104">
        <f t="shared" si="12"/>
        <v>0</v>
      </c>
      <c r="AB58" s="104">
        <f t="shared" si="13"/>
        <v>0</v>
      </c>
      <c r="AC58" s="104">
        <f t="shared" si="14"/>
        <v>0</v>
      </c>
      <c r="AD58" s="105">
        <f t="shared" si="15"/>
        <v>0</v>
      </c>
      <c r="AE58" s="109"/>
      <c r="AF58" s="109"/>
      <c r="AG58" s="109"/>
      <c r="AH58" s="104">
        <f t="shared" si="16"/>
        <v>0</v>
      </c>
      <c r="AI58" s="104">
        <f t="shared" si="17"/>
        <v>0</v>
      </c>
      <c r="AJ58" s="95" t="str">
        <f>IF(Pedido!I68="ATENDE QTD. MÍNIMA",Pedido!H68,"")</f>
        <v/>
      </c>
      <c r="AK58" s="110">
        <f t="shared" si="18"/>
        <v>0</v>
      </c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ht="15.75" customHeight="1">
      <c r="A59" s="98" t="s">
        <v>371</v>
      </c>
      <c r="B59" s="119" t="s">
        <v>431</v>
      </c>
      <c r="C59" s="100"/>
      <c r="D59" s="100"/>
      <c r="E59" s="114"/>
      <c r="F59" s="103">
        <v>116.0</v>
      </c>
      <c r="G59" s="102" t="s">
        <v>194</v>
      </c>
      <c r="H59" s="102" t="s">
        <v>193</v>
      </c>
      <c r="I59" s="102" t="s">
        <v>192</v>
      </c>
      <c r="J59" s="102" t="s">
        <v>66</v>
      </c>
      <c r="K59" s="124" t="s">
        <v>415</v>
      </c>
      <c r="L59" s="199">
        <v>0.2</v>
      </c>
      <c r="M59" s="200"/>
      <c r="N59" s="87">
        <v>307.319628</v>
      </c>
      <c r="O59" s="111">
        <f t="shared" si="1"/>
        <v>307.3230077</v>
      </c>
      <c r="P59" s="104">
        <f t="shared" si="2"/>
        <v>49.28294229</v>
      </c>
      <c r="Q59" s="104">
        <f t="shared" si="3"/>
        <v>356.60595</v>
      </c>
      <c r="R59" s="104">
        <f t="shared" si="4"/>
        <v>11.02905</v>
      </c>
      <c r="S59" s="105">
        <f t="shared" si="5"/>
        <v>367.635</v>
      </c>
      <c r="T59" s="104">
        <f t="shared" si="6"/>
        <v>122.545</v>
      </c>
      <c r="U59" s="106">
        <v>490.18</v>
      </c>
      <c r="V59" s="106">
        <f t="shared" si="7"/>
        <v>196.072</v>
      </c>
      <c r="W59" s="107">
        <f t="shared" si="8"/>
        <v>26.7246136</v>
      </c>
      <c r="X59" s="108">
        <f t="shared" si="9"/>
        <v>516.9046136</v>
      </c>
      <c r="Y59" s="93">
        <f t="shared" si="10"/>
        <v>-0.00337971</v>
      </c>
      <c r="Z59" s="104">
        <f t="shared" si="11"/>
        <v>0</v>
      </c>
      <c r="AA59" s="104">
        <f t="shared" si="12"/>
        <v>0</v>
      </c>
      <c r="AB59" s="104">
        <f t="shared" si="13"/>
        <v>0</v>
      </c>
      <c r="AC59" s="104">
        <f t="shared" si="14"/>
        <v>0</v>
      </c>
      <c r="AD59" s="105">
        <f t="shared" si="15"/>
        <v>0</v>
      </c>
      <c r="AE59" s="109"/>
      <c r="AF59" s="109"/>
      <c r="AG59" s="109"/>
      <c r="AH59" s="104">
        <f t="shared" si="16"/>
        <v>0</v>
      </c>
      <c r="AI59" s="104">
        <f t="shared" si="17"/>
        <v>0</v>
      </c>
      <c r="AJ59" s="95" t="str">
        <f>IF(Pedido!I69="ATENDE QTD. MÍNIMA",Pedido!H69,"")</f>
        <v/>
      </c>
      <c r="AK59" s="110">
        <f t="shared" si="18"/>
        <v>0</v>
      </c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</row>
    <row r="60" ht="15.75" customHeight="1">
      <c r="A60" s="98" t="s">
        <v>371</v>
      </c>
      <c r="B60" s="99"/>
      <c r="C60" s="100"/>
      <c r="D60" s="100"/>
      <c r="E60" s="102" t="s">
        <v>537</v>
      </c>
      <c r="F60" s="103">
        <v>61.0</v>
      </c>
      <c r="G60" s="102" t="s">
        <v>197</v>
      </c>
      <c r="H60" s="102" t="s">
        <v>196</v>
      </c>
      <c r="I60" s="102" t="s">
        <v>375</v>
      </c>
      <c r="J60" s="102" t="s">
        <v>30</v>
      </c>
      <c r="K60" s="102" t="s">
        <v>195</v>
      </c>
      <c r="L60" s="199">
        <v>2.0</v>
      </c>
      <c r="M60" s="200"/>
      <c r="N60" s="87">
        <v>26.21</v>
      </c>
      <c r="O60" s="111">
        <f t="shared" si="1"/>
        <v>26.2069071</v>
      </c>
      <c r="P60" s="104">
        <f t="shared" si="2"/>
        <v>4.2025929</v>
      </c>
      <c r="Q60" s="104">
        <f t="shared" si="3"/>
        <v>30.4095</v>
      </c>
      <c r="R60" s="104">
        <f t="shared" si="4"/>
        <v>0.9405</v>
      </c>
      <c r="S60" s="105">
        <f t="shared" si="5"/>
        <v>31.35</v>
      </c>
      <c r="T60" s="104">
        <f t="shared" si="6"/>
        <v>10.45</v>
      </c>
      <c r="U60" s="106">
        <v>41.8</v>
      </c>
      <c r="V60" s="106">
        <f t="shared" si="7"/>
        <v>16.72</v>
      </c>
      <c r="W60" s="107">
        <f t="shared" si="8"/>
        <v>2.278936</v>
      </c>
      <c r="X60" s="108">
        <f t="shared" si="9"/>
        <v>44.078936</v>
      </c>
      <c r="Y60" s="93">
        <f t="shared" si="10"/>
        <v>0.0030929</v>
      </c>
      <c r="Z60" s="104">
        <f t="shared" si="11"/>
        <v>0</v>
      </c>
      <c r="AA60" s="104">
        <f t="shared" si="12"/>
        <v>0</v>
      </c>
      <c r="AB60" s="104">
        <f t="shared" si="13"/>
        <v>0</v>
      </c>
      <c r="AC60" s="104">
        <f t="shared" si="14"/>
        <v>0</v>
      </c>
      <c r="AD60" s="105">
        <f t="shared" si="15"/>
        <v>0</v>
      </c>
      <c r="AE60" s="109"/>
      <c r="AF60" s="109"/>
      <c r="AG60" s="109"/>
      <c r="AH60" s="104">
        <f t="shared" si="16"/>
        <v>0</v>
      </c>
      <c r="AI60" s="104">
        <f t="shared" si="17"/>
        <v>0</v>
      </c>
      <c r="AJ60" s="95"/>
      <c r="AK60" s="110">
        <f t="shared" si="18"/>
        <v>0</v>
      </c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ht="15.75" customHeight="1">
      <c r="A61" s="98" t="s">
        <v>371</v>
      </c>
      <c r="B61" s="119" t="s">
        <v>431</v>
      </c>
      <c r="C61" s="100"/>
      <c r="D61" s="100"/>
      <c r="E61" s="100"/>
      <c r="F61" s="103">
        <v>124.0</v>
      </c>
      <c r="G61" s="102" t="s">
        <v>541</v>
      </c>
      <c r="H61" s="102" t="s">
        <v>539</v>
      </c>
      <c r="I61" s="125" t="s">
        <v>375</v>
      </c>
      <c r="J61" s="102" t="s">
        <v>30</v>
      </c>
      <c r="K61" s="123" t="s">
        <v>415</v>
      </c>
      <c r="L61" s="199">
        <v>2.0</v>
      </c>
      <c r="M61" s="200"/>
      <c r="N61" s="87">
        <v>26.2075</v>
      </c>
      <c r="O61" s="111">
        <f t="shared" si="1"/>
        <v>26.2069071</v>
      </c>
      <c r="P61" s="104">
        <f t="shared" si="2"/>
        <v>4.2025929</v>
      </c>
      <c r="Q61" s="104">
        <f t="shared" si="3"/>
        <v>30.4095</v>
      </c>
      <c r="R61" s="104">
        <f t="shared" si="4"/>
        <v>0.9405</v>
      </c>
      <c r="S61" s="105">
        <f t="shared" si="5"/>
        <v>31.35</v>
      </c>
      <c r="T61" s="104">
        <f t="shared" si="6"/>
        <v>10.45</v>
      </c>
      <c r="U61" s="106">
        <v>41.8</v>
      </c>
      <c r="V61" s="106">
        <f t="shared" si="7"/>
        <v>16.72</v>
      </c>
      <c r="W61" s="107">
        <f t="shared" si="8"/>
        <v>2.278936</v>
      </c>
      <c r="X61" s="108">
        <f t="shared" si="9"/>
        <v>44.078936</v>
      </c>
      <c r="Y61" s="93">
        <f t="shared" si="10"/>
        <v>0.0005929</v>
      </c>
      <c r="Z61" s="104">
        <f t="shared" si="11"/>
        <v>0</v>
      </c>
      <c r="AA61" s="104">
        <f t="shared" si="12"/>
        <v>0</v>
      </c>
      <c r="AB61" s="104">
        <f t="shared" si="13"/>
        <v>0</v>
      </c>
      <c r="AC61" s="104">
        <f t="shared" si="14"/>
        <v>0</v>
      </c>
      <c r="AD61" s="105">
        <f t="shared" si="15"/>
        <v>0</v>
      </c>
      <c r="AE61" s="109"/>
      <c r="AF61" s="109"/>
      <c r="AG61" s="109"/>
      <c r="AH61" s="104">
        <f t="shared" si="16"/>
        <v>0</v>
      </c>
      <c r="AI61" s="104">
        <f t="shared" si="17"/>
        <v>0</v>
      </c>
      <c r="AJ61" s="95"/>
      <c r="AK61" s="110">
        <f t="shared" si="18"/>
        <v>0</v>
      </c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ht="15.75" customHeight="1">
      <c r="A62" s="98" t="s">
        <v>371</v>
      </c>
      <c r="B62" s="99"/>
      <c r="C62" s="100"/>
      <c r="D62" s="100"/>
      <c r="E62" s="102" t="s">
        <v>543</v>
      </c>
      <c r="F62" s="103">
        <v>62.0</v>
      </c>
      <c r="G62" s="102" t="s">
        <v>200</v>
      </c>
      <c r="H62" s="102" t="s">
        <v>542</v>
      </c>
      <c r="I62" s="102" t="s">
        <v>76</v>
      </c>
      <c r="J62" s="102" t="s">
        <v>34</v>
      </c>
      <c r="K62" s="102" t="s">
        <v>35</v>
      </c>
      <c r="L62" s="199">
        <v>0.5</v>
      </c>
      <c r="M62" s="200"/>
      <c r="N62" s="87">
        <v>146.08658031000002</v>
      </c>
      <c r="O62" s="111">
        <f t="shared" si="1"/>
        <v>146.0878331</v>
      </c>
      <c r="P62" s="104">
        <f t="shared" si="2"/>
        <v>23.42694191</v>
      </c>
      <c r="Q62" s="104">
        <f t="shared" si="3"/>
        <v>169.514775</v>
      </c>
      <c r="R62" s="104">
        <f t="shared" si="4"/>
        <v>5.242725</v>
      </c>
      <c r="S62" s="105">
        <f t="shared" si="5"/>
        <v>174.7575</v>
      </c>
      <c r="T62" s="104">
        <f t="shared" si="6"/>
        <v>58.2525</v>
      </c>
      <c r="U62" s="106">
        <v>233.01</v>
      </c>
      <c r="V62" s="106">
        <f t="shared" si="7"/>
        <v>93.204</v>
      </c>
      <c r="W62" s="107">
        <f t="shared" si="8"/>
        <v>12.7037052</v>
      </c>
      <c r="X62" s="108">
        <f t="shared" si="9"/>
        <v>245.7137052</v>
      </c>
      <c r="Y62" s="93">
        <f t="shared" si="10"/>
        <v>-0.001252785</v>
      </c>
      <c r="Z62" s="104">
        <f t="shared" si="11"/>
        <v>0</v>
      </c>
      <c r="AA62" s="104">
        <f t="shared" si="12"/>
        <v>0</v>
      </c>
      <c r="AB62" s="104">
        <f t="shared" si="13"/>
        <v>0</v>
      </c>
      <c r="AC62" s="104">
        <f t="shared" si="14"/>
        <v>0</v>
      </c>
      <c r="AD62" s="105">
        <f t="shared" si="15"/>
        <v>0</v>
      </c>
      <c r="AE62" s="109"/>
      <c r="AF62" s="109"/>
      <c r="AG62" s="109"/>
      <c r="AH62" s="104">
        <f t="shared" si="16"/>
        <v>0</v>
      </c>
      <c r="AI62" s="104">
        <f t="shared" si="17"/>
        <v>0</v>
      </c>
      <c r="AJ62" s="95" t="str">
        <f>IF(Pedido!I72="ATENDE QTD. MÍNIMA",Pedido!H72,"")</f>
        <v/>
      </c>
      <c r="AK62" s="110">
        <f t="shared" si="18"/>
        <v>0</v>
      </c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</row>
    <row r="63" ht="15.75" customHeight="1">
      <c r="A63" s="98" t="s">
        <v>371</v>
      </c>
      <c r="B63" s="99"/>
      <c r="C63" s="100"/>
      <c r="D63" s="100"/>
      <c r="E63" s="102" t="s">
        <v>546</v>
      </c>
      <c r="F63" s="103">
        <v>64.0</v>
      </c>
      <c r="G63" s="102" t="s">
        <v>204</v>
      </c>
      <c r="H63" s="102" t="s">
        <v>545</v>
      </c>
      <c r="I63" s="102" t="s">
        <v>76</v>
      </c>
      <c r="J63" s="102" t="s">
        <v>34</v>
      </c>
      <c r="K63" s="102" t="s">
        <v>35</v>
      </c>
      <c r="L63" s="199">
        <v>0.5</v>
      </c>
      <c r="M63" s="200"/>
      <c r="N63" s="87">
        <v>136.09</v>
      </c>
      <c r="O63" s="104">
        <f t="shared" si="1"/>
        <v>136.0878291</v>
      </c>
      <c r="P63" s="104">
        <f t="shared" si="2"/>
        <v>21.82332093</v>
      </c>
      <c r="Q63" s="104">
        <f t="shared" si="3"/>
        <v>157.91115</v>
      </c>
      <c r="R63" s="104">
        <f t="shared" si="4"/>
        <v>4.88385</v>
      </c>
      <c r="S63" s="105">
        <f t="shared" si="5"/>
        <v>162.795</v>
      </c>
      <c r="T63" s="104">
        <f t="shared" si="6"/>
        <v>54.265</v>
      </c>
      <c r="U63" s="118">
        <v>217.06</v>
      </c>
      <c r="V63" s="106">
        <f t="shared" si="7"/>
        <v>86.824</v>
      </c>
      <c r="W63" s="107">
        <f t="shared" si="8"/>
        <v>11.8341112</v>
      </c>
      <c r="X63" s="108">
        <f t="shared" si="9"/>
        <v>228.8941112</v>
      </c>
      <c r="Y63" s="93">
        <f t="shared" si="10"/>
        <v>0.00217093</v>
      </c>
      <c r="Z63" s="104">
        <f t="shared" si="11"/>
        <v>0</v>
      </c>
      <c r="AA63" s="104">
        <f t="shared" si="12"/>
        <v>0</v>
      </c>
      <c r="AB63" s="104">
        <f t="shared" si="13"/>
        <v>0</v>
      </c>
      <c r="AC63" s="104">
        <f t="shared" si="14"/>
        <v>0</v>
      </c>
      <c r="AD63" s="105">
        <f t="shared" si="15"/>
        <v>0</v>
      </c>
      <c r="AE63" s="109"/>
      <c r="AF63" s="109"/>
      <c r="AG63" s="109"/>
      <c r="AH63" s="104">
        <f t="shared" si="16"/>
        <v>0</v>
      </c>
      <c r="AI63" s="104">
        <f t="shared" si="17"/>
        <v>0</v>
      </c>
      <c r="AJ63" s="95" t="str">
        <f>IF(Pedido!I73="ATENDE QTD. MÍNIMA",Pedido!H73,"")</f>
        <v/>
      </c>
      <c r="AK63" s="110">
        <f t="shared" si="18"/>
        <v>0</v>
      </c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ht="15.75" customHeight="1">
      <c r="A64" s="98" t="s">
        <v>371</v>
      </c>
      <c r="B64" s="99"/>
      <c r="C64" s="100"/>
      <c r="D64" s="100"/>
      <c r="E64" s="102" t="s">
        <v>549</v>
      </c>
      <c r="F64" s="103">
        <v>65.0</v>
      </c>
      <c r="G64" s="102" t="s">
        <v>206</v>
      </c>
      <c r="H64" s="102" t="s">
        <v>548</v>
      </c>
      <c r="I64" s="102" t="s">
        <v>76</v>
      </c>
      <c r="J64" s="102" t="s">
        <v>34</v>
      </c>
      <c r="K64" s="121" t="s">
        <v>415</v>
      </c>
      <c r="L64" s="199">
        <v>0.5</v>
      </c>
      <c r="M64" s="200"/>
      <c r="N64" s="87">
        <v>146.08658031000002</v>
      </c>
      <c r="O64" s="111">
        <f t="shared" si="1"/>
        <v>146.0878331</v>
      </c>
      <c r="P64" s="104">
        <f t="shared" si="2"/>
        <v>23.42694191</v>
      </c>
      <c r="Q64" s="104">
        <f t="shared" si="3"/>
        <v>169.514775</v>
      </c>
      <c r="R64" s="104">
        <f t="shared" si="4"/>
        <v>5.242725</v>
      </c>
      <c r="S64" s="105">
        <f t="shared" si="5"/>
        <v>174.7575</v>
      </c>
      <c r="T64" s="104">
        <f t="shared" si="6"/>
        <v>58.2525</v>
      </c>
      <c r="U64" s="106">
        <v>233.01</v>
      </c>
      <c r="V64" s="106">
        <f t="shared" si="7"/>
        <v>93.204</v>
      </c>
      <c r="W64" s="107">
        <f t="shared" si="8"/>
        <v>12.7037052</v>
      </c>
      <c r="X64" s="108">
        <f t="shared" si="9"/>
        <v>245.7137052</v>
      </c>
      <c r="Y64" s="93">
        <f t="shared" si="10"/>
        <v>-0.001252785</v>
      </c>
      <c r="Z64" s="104">
        <f t="shared" si="11"/>
        <v>0</v>
      </c>
      <c r="AA64" s="104">
        <f t="shared" si="12"/>
        <v>0</v>
      </c>
      <c r="AB64" s="104">
        <f t="shared" si="13"/>
        <v>0</v>
      </c>
      <c r="AC64" s="104">
        <f t="shared" si="14"/>
        <v>0</v>
      </c>
      <c r="AD64" s="105">
        <f t="shared" si="15"/>
        <v>0</v>
      </c>
      <c r="AE64" s="109"/>
      <c r="AF64" s="109"/>
      <c r="AG64" s="109"/>
      <c r="AH64" s="104">
        <f t="shared" si="16"/>
        <v>0</v>
      </c>
      <c r="AI64" s="104">
        <f t="shared" si="17"/>
        <v>0</v>
      </c>
      <c r="AJ64" s="95" t="str">
        <f>IF(Pedido!I74="ATENDE QTD. MÍNIMA",Pedido!H74,"")</f>
        <v/>
      </c>
      <c r="AK64" s="110">
        <f t="shared" si="18"/>
        <v>0</v>
      </c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ht="15.75" customHeight="1">
      <c r="A65" s="98" t="s">
        <v>371</v>
      </c>
      <c r="B65" s="99"/>
      <c r="C65" s="100"/>
      <c r="D65" s="114"/>
      <c r="E65" s="102" t="s">
        <v>551</v>
      </c>
      <c r="F65" s="103">
        <v>66.0</v>
      </c>
      <c r="G65" s="102" t="s">
        <v>208</v>
      </c>
      <c r="H65" s="102" t="s">
        <v>207</v>
      </c>
      <c r="I65" s="102" t="s">
        <v>45</v>
      </c>
      <c r="J65" s="102" t="s">
        <v>34</v>
      </c>
      <c r="K65" s="102" t="s">
        <v>57</v>
      </c>
      <c r="L65" s="199">
        <v>0.1</v>
      </c>
      <c r="M65" s="200"/>
      <c r="N65" s="87">
        <v>39.84179463</v>
      </c>
      <c r="O65" s="111">
        <f t="shared" si="1"/>
        <v>39.84284286</v>
      </c>
      <c r="P65" s="104">
        <f t="shared" si="2"/>
        <v>6.38927928</v>
      </c>
      <c r="Q65" s="104">
        <f t="shared" si="3"/>
        <v>46.23212214</v>
      </c>
      <c r="R65" s="104">
        <f t="shared" si="4"/>
        <v>1.429859448</v>
      </c>
      <c r="S65" s="105">
        <f t="shared" si="5"/>
        <v>47.66198159</v>
      </c>
      <c r="T65" s="104">
        <f t="shared" si="6"/>
        <v>15.8873272</v>
      </c>
      <c r="U65" s="106">
        <v>63.54930879</v>
      </c>
      <c r="V65" s="106">
        <f t="shared" si="7"/>
        <v>25.41972352</v>
      </c>
      <c r="W65" s="107">
        <f t="shared" si="8"/>
        <v>3.464708315</v>
      </c>
      <c r="X65" s="108">
        <f t="shared" si="9"/>
        <v>67.01401711</v>
      </c>
      <c r="Y65" s="93">
        <f t="shared" si="10"/>
        <v>-0.001048234324</v>
      </c>
      <c r="Z65" s="104">
        <f t="shared" si="11"/>
        <v>0</v>
      </c>
      <c r="AA65" s="104">
        <f t="shared" si="12"/>
        <v>0</v>
      </c>
      <c r="AB65" s="104">
        <f t="shared" si="13"/>
        <v>0</v>
      </c>
      <c r="AC65" s="104">
        <f t="shared" si="14"/>
        <v>0</v>
      </c>
      <c r="AD65" s="105">
        <f t="shared" si="15"/>
        <v>0</v>
      </c>
      <c r="AE65" s="109"/>
      <c r="AF65" s="109"/>
      <c r="AG65" s="109"/>
      <c r="AH65" s="104">
        <f t="shared" si="16"/>
        <v>0</v>
      </c>
      <c r="AI65" s="104">
        <f t="shared" si="17"/>
        <v>0</v>
      </c>
      <c r="AJ65" s="95" t="str">
        <f>IF(Pedido!I75="ATENDE QTD. MÍNIMA",Pedido!H75,"")</f>
        <v/>
      </c>
      <c r="AK65" s="110">
        <f t="shared" si="18"/>
        <v>0</v>
      </c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ht="15.75" customHeight="1">
      <c r="A66" s="98" t="s">
        <v>371</v>
      </c>
      <c r="B66" s="99"/>
      <c r="C66" s="100"/>
      <c r="D66" s="100"/>
      <c r="E66" s="102" t="s">
        <v>554</v>
      </c>
      <c r="F66" s="103">
        <v>67.0</v>
      </c>
      <c r="G66" s="102" t="s">
        <v>211</v>
      </c>
      <c r="H66" s="102" t="s">
        <v>553</v>
      </c>
      <c r="I66" s="102" t="s">
        <v>45</v>
      </c>
      <c r="J66" s="102" t="s">
        <v>34</v>
      </c>
      <c r="K66" s="102" t="s">
        <v>209</v>
      </c>
      <c r="L66" s="199">
        <v>2.0</v>
      </c>
      <c r="M66" s="200"/>
      <c r="N66" s="87">
        <v>43.902804</v>
      </c>
      <c r="O66" s="104">
        <f t="shared" si="1"/>
        <v>43.90282167</v>
      </c>
      <c r="P66" s="104">
        <f t="shared" si="2"/>
        <v>7.040345736</v>
      </c>
      <c r="Q66" s="104">
        <f t="shared" si="3"/>
        <v>50.94316741</v>
      </c>
      <c r="R66" s="104">
        <f t="shared" si="4"/>
        <v>1.575561879</v>
      </c>
      <c r="S66" s="105">
        <f t="shared" si="5"/>
        <v>52.51872929</v>
      </c>
      <c r="T66" s="104">
        <f t="shared" si="6"/>
        <v>17.5062431</v>
      </c>
      <c r="U66" s="106">
        <v>70.02497238</v>
      </c>
      <c r="V66" s="106">
        <f t="shared" si="7"/>
        <v>28.00998895</v>
      </c>
      <c r="W66" s="107">
        <f t="shared" si="8"/>
        <v>3.817761494</v>
      </c>
      <c r="X66" s="108">
        <f t="shared" si="9"/>
        <v>73.84273387</v>
      </c>
      <c r="Y66" s="93">
        <f t="shared" si="10"/>
        <v>-0.00001767087861</v>
      </c>
      <c r="Z66" s="104">
        <f t="shared" si="11"/>
        <v>0</v>
      </c>
      <c r="AA66" s="104">
        <f t="shared" si="12"/>
        <v>0</v>
      </c>
      <c r="AB66" s="104">
        <f t="shared" si="13"/>
        <v>0</v>
      </c>
      <c r="AC66" s="104">
        <f t="shared" si="14"/>
        <v>0</v>
      </c>
      <c r="AD66" s="105">
        <f t="shared" si="15"/>
        <v>0</v>
      </c>
      <c r="AE66" s="109"/>
      <c r="AF66" s="109"/>
      <c r="AG66" s="109"/>
      <c r="AH66" s="104">
        <f t="shared" si="16"/>
        <v>0</v>
      </c>
      <c r="AI66" s="104">
        <f t="shared" si="17"/>
        <v>0</v>
      </c>
      <c r="AJ66" s="95" t="str">
        <f>IF(Pedido!I76="ATENDE QTD. MÍNIMA",Pedido!H76,"")</f>
        <v/>
      </c>
      <c r="AK66" s="110">
        <f t="shared" si="18"/>
        <v>0</v>
      </c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ht="15.75" customHeight="1">
      <c r="A67" s="98" t="s">
        <v>371</v>
      </c>
      <c r="B67" s="99"/>
      <c r="C67" s="100"/>
      <c r="D67" s="101"/>
      <c r="E67" s="101"/>
      <c r="F67" s="103">
        <v>137.0</v>
      </c>
      <c r="G67" s="126" t="s">
        <v>557</v>
      </c>
      <c r="H67" s="102" t="s">
        <v>556</v>
      </c>
      <c r="I67" s="117" t="s">
        <v>45</v>
      </c>
      <c r="J67" s="102" t="s">
        <v>34</v>
      </c>
      <c r="K67" s="117" t="s">
        <v>415</v>
      </c>
      <c r="L67" s="199">
        <v>1.0</v>
      </c>
      <c r="M67" s="200"/>
      <c r="N67" s="87">
        <v>76.829907</v>
      </c>
      <c r="O67" s="104">
        <f t="shared" si="1"/>
        <v>76.82497575</v>
      </c>
      <c r="P67" s="104">
        <f t="shared" si="2"/>
        <v>12.31980929</v>
      </c>
      <c r="Q67" s="104">
        <f t="shared" si="3"/>
        <v>89.14478504</v>
      </c>
      <c r="R67" s="104">
        <f t="shared" si="4"/>
        <v>2.757055208</v>
      </c>
      <c r="S67" s="105">
        <f t="shared" si="5"/>
        <v>91.90184025</v>
      </c>
      <c r="T67" s="104">
        <f t="shared" si="6"/>
        <v>30.63394675</v>
      </c>
      <c r="U67" s="106">
        <v>122.535787</v>
      </c>
      <c r="V67" s="106">
        <f t="shared" si="7"/>
        <v>49.0143148</v>
      </c>
      <c r="W67" s="107">
        <f t="shared" si="8"/>
        <v>6.680651107</v>
      </c>
      <c r="X67" s="108">
        <f t="shared" si="9"/>
        <v>129.2164381</v>
      </c>
      <c r="Y67" s="93">
        <f t="shared" si="10"/>
        <v>0.004931250374</v>
      </c>
      <c r="Z67" s="104">
        <f t="shared" si="11"/>
        <v>0</v>
      </c>
      <c r="AA67" s="104">
        <f t="shared" si="12"/>
        <v>0</v>
      </c>
      <c r="AB67" s="104">
        <f t="shared" si="13"/>
        <v>0</v>
      </c>
      <c r="AC67" s="104">
        <f t="shared" si="14"/>
        <v>0</v>
      </c>
      <c r="AD67" s="105">
        <f t="shared" si="15"/>
        <v>0</v>
      </c>
      <c r="AE67" s="109"/>
      <c r="AF67" s="109"/>
      <c r="AG67" s="109"/>
      <c r="AH67" s="104">
        <f t="shared" si="16"/>
        <v>0</v>
      </c>
      <c r="AI67" s="104">
        <f t="shared" si="17"/>
        <v>0</v>
      </c>
      <c r="AJ67" s="95" t="str">
        <f>IF(Pedido!I77="ATENDE QTD. MÍNIMA",Pedido!H77,"")</f>
        <v/>
      </c>
      <c r="AK67" s="110">
        <f t="shared" si="18"/>
        <v>0</v>
      </c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ht="15.75" customHeight="1">
      <c r="A68" s="98" t="s">
        <v>371</v>
      </c>
      <c r="B68" s="99"/>
      <c r="C68" s="100"/>
      <c r="D68" s="100"/>
      <c r="E68" s="102" t="s">
        <v>559</v>
      </c>
      <c r="F68" s="103">
        <v>68.0</v>
      </c>
      <c r="G68" s="102" t="s">
        <v>213</v>
      </c>
      <c r="H68" s="102" t="s">
        <v>558</v>
      </c>
      <c r="I68" s="102" t="s">
        <v>45</v>
      </c>
      <c r="J68" s="102" t="s">
        <v>34</v>
      </c>
      <c r="K68" s="102" t="s">
        <v>209</v>
      </c>
      <c r="L68" s="199">
        <v>1.0</v>
      </c>
      <c r="M68" s="200"/>
      <c r="N68" s="87">
        <v>60.3663555</v>
      </c>
      <c r="O68" s="113">
        <f t="shared" si="1"/>
        <v>60.36293914</v>
      </c>
      <c r="P68" s="104">
        <f t="shared" si="2"/>
        <v>9.679923635</v>
      </c>
      <c r="Q68" s="104">
        <f t="shared" si="3"/>
        <v>70.04286277</v>
      </c>
      <c r="R68" s="104">
        <f t="shared" si="4"/>
        <v>2.166274106</v>
      </c>
      <c r="S68" s="105">
        <f t="shared" si="5"/>
        <v>72.20913688</v>
      </c>
      <c r="T68" s="104">
        <f t="shared" si="6"/>
        <v>24.06971229</v>
      </c>
      <c r="U68" s="106">
        <v>96.278849172</v>
      </c>
      <c r="V68" s="106">
        <f t="shared" si="7"/>
        <v>38.51153967</v>
      </c>
      <c r="W68" s="107">
        <f t="shared" si="8"/>
        <v>5.249122857</v>
      </c>
      <c r="X68" s="108">
        <f t="shared" si="9"/>
        <v>101.527972</v>
      </c>
      <c r="Y68" s="93">
        <f t="shared" si="10"/>
        <v>0.003416362547</v>
      </c>
      <c r="Z68" s="104">
        <f t="shared" si="11"/>
        <v>0</v>
      </c>
      <c r="AA68" s="104">
        <f t="shared" si="12"/>
        <v>0</v>
      </c>
      <c r="AB68" s="104">
        <f t="shared" si="13"/>
        <v>0</v>
      </c>
      <c r="AC68" s="104">
        <f t="shared" si="14"/>
        <v>0</v>
      </c>
      <c r="AD68" s="105">
        <f t="shared" si="15"/>
        <v>0</v>
      </c>
      <c r="AE68" s="109"/>
      <c r="AF68" s="109"/>
      <c r="AG68" s="109"/>
      <c r="AH68" s="104">
        <f t="shared" si="16"/>
        <v>0</v>
      </c>
      <c r="AI68" s="104">
        <f t="shared" si="17"/>
        <v>0</v>
      </c>
      <c r="AJ68" s="95" t="str">
        <f>IF(Pedido!I78="ATENDE QTD. MÍNIMA",Pedido!H78,"")</f>
        <v/>
      </c>
      <c r="AK68" s="110">
        <f t="shared" si="18"/>
        <v>0</v>
      </c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</row>
    <row r="69" ht="15.75" customHeight="1">
      <c r="A69" s="98" t="s">
        <v>371</v>
      </c>
      <c r="B69" s="99"/>
      <c r="C69" s="100"/>
      <c r="D69" s="100"/>
      <c r="E69" s="102" t="s">
        <v>561</v>
      </c>
      <c r="F69" s="103">
        <v>69.0</v>
      </c>
      <c r="G69" s="102" t="s">
        <v>216</v>
      </c>
      <c r="H69" s="102" t="s">
        <v>215</v>
      </c>
      <c r="I69" s="102" t="s">
        <v>214</v>
      </c>
      <c r="J69" s="102" t="s">
        <v>34</v>
      </c>
      <c r="K69" s="121" t="s">
        <v>415</v>
      </c>
      <c r="L69" s="199">
        <v>0.1</v>
      </c>
      <c r="M69" s="200"/>
      <c r="N69" s="87">
        <v>329.27103</v>
      </c>
      <c r="O69" s="111">
        <f t="shared" si="1"/>
        <v>329.2728598</v>
      </c>
      <c r="P69" s="104">
        <f t="shared" si="2"/>
        <v>52.8028652</v>
      </c>
      <c r="Q69" s="104">
        <f t="shared" si="3"/>
        <v>382.075725</v>
      </c>
      <c r="R69" s="104">
        <f t="shared" si="4"/>
        <v>11.816775</v>
      </c>
      <c r="S69" s="105">
        <f t="shared" si="5"/>
        <v>393.8925</v>
      </c>
      <c r="T69" s="104">
        <f t="shared" si="6"/>
        <v>131.2975</v>
      </c>
      <c r="U69" s="106">
        <v>525.19</v>
      </c>
      <c r="V69" s="106">
        <f t="shared" si="7"/>
        <v>210.076</v>
      </c>
      <c r="W69" s="107">
        <f t="shared" si="8"/>
        <v>28.6333588</v>
      </c>
      <c r="X69" s="108">
        <f t="shared" si="9"/>
        <v>553.8233588</v>
      </c>
      <c r="Y69" s="93">
        <f t="shared" si="10"/>
        <v>-0.001829805</v>
      </c>
      <c r="Z69" s="104">
        <f t="shared" si="11"/>
        <v>0</v>
      </c>
      <c r="AA69" s="104">
        <f t="shared" si="12"/>
        <v>0</v>
      </c>
      <c r="AB69" s="104">
        <f t="shared" si="13"/>
        <v>0</v>
      </c>
      <c r="AC69" s="104">
        <f t="shared" si="14"/>
        <v>0</v>
      </c>
      <c r="AD69" s="105">
        <f t="shared" si="15"/>
        <v>0</v>
      </c>
      <c r="AE69" s="109"/>
      <c r="AF69" s="109"/>
      <c r="AG69" s="109"/>
      <c r="AH69" s="104">
        <f t="shared" si="16"/>
        <v>0</v>
      </c>
      <c r="AI69" s="104">
        <f t="shared" si="17"/>
        <v>0</v>
      </c>
      <c r="AJ69" s="95" t="str">
        <f>IF(Pedido!I79="ATENDE QTD. MÍNIMA",Pedido!H79,"")</f>
        <v/>
      </c>
      <c r="AK69" s="110">
        <f t="shared" si="18"/>
        <v>0</v>
      </c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ht="15.75" customHeight="1">
      <c r="A70" s="98" t="s">
        <v>371</v>
      </c>
      <c r="B70" s="99"/>
      <c r="C70" s="100"/>
      <c r="D70" s="100"/>
      <c r="E70" s="102" t="s">
        <v>563</v>
      </c>
      <c r="F70" s="103">
        <v>72.0</v>
      </c>
      <c r="G70" s="98" t="s">
        <v>223</v>
      </c>
      <c r="H70" s="102" t="s">
        <v>222</v>
      </c>
      <c r="I70" s="102" t="s">
        <v>220</v>
      </c>
      <c r="J70" s="102" t="s">
        <v>66</v>
      </c>
      <c r="K70" s="102" t="s">
        <v>221</v>
      </c>
      <c r="L70" s="199">
        <v>0.5</v>
      </c>
      <c r="M70" s="200"/>
      <c r="N70" s="87">
        <v>160.0</v>
      </c>
      <c r="O70" s="104">
        <f t="shared" si="1"/>
        <v>160.0000644</v>
      </c>
      <c r="P70" s="104">
        <f t="shared" si="2"/>
        <v>25.6579356</v>
      </c>
      <c r="Q70" s="104">
        <f t="shared" si="3"/>
        <v>185.658</v>
      </c>
      <c r="R70" s="104">
        <f t="shared" si="4"/>
        <v>5.742</v>
      </c>
      <c r="S70" s="105">
        <f t="shared" si="5"/>
        <v>191.4</v>
      </c>
      <c r="T70" s="104">
        <f t="shared" si="6"/>
        <v>63.8</v>
      </c>
      <c r="U70" s="118">
        <v>255.2</v>
      </c>
      <c r="V70" s="106">
        <f t="shared" si="7"/>
        <v>102.08</v>
      </c>
      <c r="W70" s="107">
        <f t="shared" si="8"/>
        <v>13.913504</v>
      </c>
      <c r="X70" s="108">
        <f t="shared" si="9"/>
        <v>269.113504</v>
      </c>
      <c r="Y70" s="93">
        <f t="shared" si="10"/>
        <v>-0.00006439999999</v>
      </c>
      <c r="Z70" s="104">
        <f t="shared" si="11"/>
        <v>0</v>
      </c>
      <c r="AA70" s="104">
        <f t="shared" si="12"/>
        <v>0</v>
      </c>
      <c r="AB70" s="104">
        <f t="shared" si="13"/>
        <v>0</v>
      </c>
      <c r="AC70" s="104">
        <f t="shared" si="14"/>
        <v>0</v>
      </c>
      <c r="AD70" s="105">
        <f t="shared" si="15"/>
        <v>0</v>
      </c>
      <c r="AE70" s="109"/>
      <c r="AF70" s="109"/>
      <c r="AG70" s="109"/>
      <c r="AH70" s="104">
        <f t="shared" si="16"/>
        <v>0</v>
      </c>
      <c r="AI70" s="104">
        <f t="shared" si="17"/>
        <v>0</v>
      </c>
      <c r="AJ70" s="95" t="str">
        <f>IF(Pedido!I80="ATENDE QTD. MÍNIMA",Pedido!H80,"")</f>
        <v/>
      </c>
      <c r="AK70" s="110">
        <f t="shared" si="18"/>
        <v>0</v>
      </c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ht="15.75" customHeight="1">
      <c r="A71" s="98" t="s">
        <v>371</v>
      </c>
      <c r="B71" s="99"/>
      <c r="C71" s="100"/>
      <c r="D71" s="100"/>
      <c r="E71" s="102" t="s">
        <v>565</v>
      </c>
      <c r="F71" s="103">
        <v>73.0</v>
      </c>
      <c r="G71" s="102" t="s">
        <v>225</v>
      </c>
      <c r="H71" s="102" t="s">
        <v>224</v>
      </c>
      <c r="I71" s="102" t="s">
        <v>41</v>
      </c>
      <c r="J71" s="102" t="s">
        <v>94</v>
      </c>
      <c r="K71" s="102" t="s">
        <v>60</v>
      </c>
      <c r="L71" s="199">
        <v>0.1</v>
      </c>
      <c r="M71" s="200"/>
      <c r="N71" s="87">
        <v>199.20897315000002</v>
      </c>
      <c r="O71" s="111">
        <f t="shared" si="1"/>
        <v>199.2101115</v>
      </c>
      <c r="P71" s="104">
        <f t="shared" si="2"/>
        <v>31.94573847</v>
      </c>
      <c r="Q71" s="104">
        <f t="shared" si="3"/>
        <v>231.15585</v>
      </c>
      <c r="R71" s="104">
        <f t="shared" si="4"/>
        <v>7.14915</v>
      </c>
      <c r="S71" s="105">
        <f t="shared" si="5"/>
        <v>238.305</v>
      </c>
      <c r="T71" s="104">
        <f t="shared" si="6"/>
        <v>79.435</v>
      </c>
      <c r="U71" s="106">
        <v>317.74</v>
      </c>
      <c r="V71" s="106">
        <f t="shared" si="7"/>
        <v>127.096</v>
      </c>
      <c r="W71" s="107">
        <f t="shared" si="8"/>
        <v>17.3231848</v>
      </c>
      <c r="X71" s="108">
        <f t="shared" si="9"/>
        <v>335.0631848</v>
      </c>
      <c r="Y71" s="93">
        <f t="shared" si="10"/>
        <v>-0.00113838</v>
      </c>
      <c r="Z71" s="104">
        <f t="shared" si="11"/>
        <v>0</v>
      </c>
      <c r="AA71" s="104">
        <f t="shared" si="12"/>
        <v>0</v>
      </c>
      <c r="AB71" s="104">
        <f t="shared" si="13"/>
        <v>0</v>
      </c>
      <c r="AC71" s="104">
        <f t="shared" si="14"/>
        <v>0</v>
      </c>
      <c r="AD71" s="105">
        <f t="shared" si="15"/>
        <v>0</v>
      </c>
      <c r="AE71" s="109"/>
      <c r="AF71" s="109"/>
      <c r="AG71" s="109"/>
      <c r="AH71" s="104">
        <f t="shared" si="16"/>
        <v>0</v>
      </c>
      <c r="AI71" s="104">
        <f t="shared" si="17"/>
        <v>0</v>
      </c>
      <c r="AJ71" s="95" t="str">
        <f>IF(Pedido!I81="ATENDE QTD. MÍNIMA",Pedido!H81,"")</f>
        <v/>
      </c>
      <c r="AK71" s="110">
        <f t="shared" si="18"/>
        <v>0</v>
      </c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ht="15.75" customHeight="1">
      <c r="A72" s="98" t="s">
        <v>371</v>
      </c>
      <c r="B72" s="99"/>
      <c r="C72" s="100"/>
      <c r="D72" s="100"/>
      <c r="E72" s="102" t="s">
        <v>565</v>
      </c>
      <c r="F72" s="103" t="s">
        <v>568</v>
      </c>
      <c r="G72" s="102" t="s">
        <v>569</v>
      </c>
      <c r="H72" s="102" t="s">
        <v>567</v>
      </c>
      <c r="I72" s="102" t="s">
        <v>41</v>
      </c>
      <c r="J72" s="102" t="s">
        <v>94</v>
      </c>
      <c r="K72" s="102" t="s">
        <v>60</v>
      </c>
      <c r="L72" s="199">
        <v>0.1</v>
      </c>
      <c r="M72" s="200"/>
      <c r="N72" s="87">
        <v>199.20897315000002</v>
      </c>
      <c r="O72" s="111">
        <f t="shared" si="1"/>
        <v>199.2101115</v>
      </c>
      <c r="P72" s="104">
        <f t="shared" si="2"/>
        <v>31.94573847</v>
      </c>
      <c r="Q72" s="104">
        <f t="shared" si="3"/>
        <v>231.15585</v>
      </c>
      <c r="R72" s="104">
        <f t="shared" si="4"/>
        <v>7.14915</v>
      </c>
      <c r="S72" s="105">
        <f t="shared" si="5"/>
        <v>238.305</v>
      </c>
      <c r="T72" s="104">
        <f t="shared" si="6"/>
        <v>79.435</v>
      </c>
      <c r="U72" s="106">
        <v>317.74</v>
      </c>
      <c r="V72" s="106">
        <f t="shared" si="7"/>
        <v>127.096</v>
      </c>
      <c r="W72" s="107">
        <f t="shared" si="8"/>
        <v>17.3231848</v>
      </c>
      <c r="X72" s="108">
        <f t="shared" si="9"/>
        <v>335.0631848</v>
      </c>
      <c r="Y72" s="93">
        <f t="shared" si="10"/>
        <v>-0.00113838</v>
      </c>
      <c r="Z72" s="104">
        <f t="shared" si="11"/>
        <v>0</v>
      </c>
      <c r="AA72" s="104">
        <f t="shared" si="12"/>
        <v>0</v>
      </c>
      <c r="AB72" s="104">
        <f t="shared" si="13"/>
        <v>0</v>
      </c>
      <c r="AC72" s="104">
        <f t="shared" si="14"/>
        <v>0</v>
      </c>
      <c r="AD72" s="105">
        <f t="shared" si="15"/>
        <v>0</v>
      </c>
      <c r="AE72" s="109"/>
      <c r="AF72" s="109"/>
      <c r="AG72" s="109"/>
      <c r="AH72" s="104">
        <f t="shared" si="16"/>
        <v>0</v>
      </c>
      <c r="AI72" s="104">
        <f t="shared" si="17"/>
        <v>0</v>
      </c>
      <c r="AJ72" s="95" t="str">
        <f>IF(Pedido!I82="ATENDE QTD. MÍNIMA",Pedido!H82,"")</f>
        <v/>
      </c>
      <c r="AK72" s="110">
        <f t="shared" si="18"/>
        <v>0</v>
      </c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</row>
    <row r="73" ht="15.75" customHeight="1">
      <c r="A73" s="98" t="s">
        <v>371</v>
      </c>
      <c r="B73" s="99"/>
      <c r="C73" s="100"/>
      <c r="D73" s="100"/>
      <c r="E73" s="102" t="s">
        <v>571</v>
      </c>
      <c r="F73" s="103">
        <v>74.0</v>
      </c>
      <c r="G73" s="102" t="s">
        <v>228</v>
      </c>
      <c r="H73" s="102" t="s">
        <v>570</v>
      </c>
      <c r="I73" s="102" t="s">
        <v>226</v>
      </c>
      <c r="J73" s="112" t="s">
        <v>34</v>
      </c>
      <c r="K73" s="121" t="s">
        <v>415</v>
      </c>
      <c r="L73" s="199">
        <v>0.1</v>
      </c>
      <c r="M73" s="200"/>
      <c r="N73" s="87">
        <v>109.75701000000001</v>
      </c>
      <c r="O73" s="104">
        <f t="shared" si="1"/>
        <v>109.7501729</v>
      </c>
      <c r="P73" s="104">
        <f t="shared" si="2"/>
        <v>17.59976084</v>
      </c>
      <c r="Q73" s="104">
        <f t="shared" si="3"/>
        <v>127.3499337</v>
      </c>
      <c r="R73" s="104">
        <f t="shared" si="4"/>
        <v>3.938657743</v>
      </c>
      <c r="S73" s="105">
        <f t="shared" si="5"/>
        <v>131.2885914</v>
      </c>
      <c r="T73" s="104">
        <f t="shared" si="6"/>
        <v>43.76286381</v>
      </c>
      <c r="U73" s="106">
        <v>175.051455249</v>
      </c>
      <c r="V73" s="106">
        <f t="shared" si="7"/>
        <v>70.0205821</v>
      </c>
      <c r="W73" s="107">
        <f t="shared" si="8"/>
        <v>9.54380534</v>
      </c>
      <c r="X73" s="108">
        <f t="shared" si="9"/>
        <v>184.5952606</v>
      </c>
      <c r="Y73" s="93">
        <f t="shared" si="10"/>
        <v>0.006837142815</v>
      </c>
      <c r="Z73" s="104">
        <f t="shared" si="11"/>
        <v>0</v>
      </c>
      <c r="AA73" s="104">
        <f t="shared" si="12"/>
        <v>0</v>
      </c>
      <c r="AB73" s="104">
        <f t="shared" si="13"/>
        <v>0</v>
      </c>
      <c r="AC73" s="104">
        <f t="shared" si="14"/>
        <v>0</v>
      </c>
      <c r="AD73" s="105">
        <f t="shared" si="15"/>
        <v>0</v>
      </c>
      <c r="AE73" s="109"/>
      <c r="AF73" s="109"/>
      <c r="AG73" s="109"/>
      <c r="AH73" s="104">
        <f t="shared" si="16"/>
        <v>0</v>
      </c>
      <c r="AI73" s="104">
        <f t="shared" si="17"/>
        <v>0</v>
      </c>
      <c r="AJ73" s="95" t="str">
        <f>IF(Pedido!I83="ATENDE QTD. MÍNIMA",Pedido!H83,"")</f>
        <v/>
      </c>
      <c r="AK73" s="110">
        <f t="shared" si="18"/>
        <v>0</v>
      </c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ht="15.75" customHeight="1">
      <c r="A74" s="98" t="s">
        <v>371</v>
      </c>
      <c r="B74" s="99"/>
      <c r="C74" s="100"/>
      <c r="D74" s="100"/>
      <c r="E74" s="102" t="s">
        <v>573</v>
      </c>
      <c r="F74" s="103">
        <v>75.0</v>
      </c>
      <c r="G74" s="102" t="s">
        <v>575</v>
      </c>
      <c r="H74" s="102" t="s">
        <v>230</v>
      </c>
      <c r="I74" s="102" t="s">
        <v>229</v>
      </c>
      <c r="J74" s="102" t="s">
        <v>34</v>
      </c>
      <c r="K74" s="121" t="s">
        <v>415</v>
      </c>
      <c r="L74" s="199">
        <v>0.1</v>
      </c>
      <c r="M74" s="200"/>
      <c r="N74" s="87">
        <v>87.805608</v>
      </c>
      <c r="O74" s="104">
        <f t="shared" si="1"/>
        <v>87.79876202</v>
      </c>
      <c r="P74" s="104">
        <f t="shared" si="2"/>
        <v>14.07958797</v>
      </c>
      <c r="Q74" s="104">
        <f t="shared" si="3"/>
        <v>101.87835</v>
      </c>
      <c r="R74" s="104">
        <f t="shared" si="4"/>
        <v>3.150876804</v>
      </c>
      <c r="S74" s="105">
        <f t="shared" si="5"/>
        <v>105.0292268</v>
      </c>
      <c r="T74" s="104">
        <f t="shared" si="6"/>
        <v>35.00974226</v>
      </c>
      <c r="U74" s="106">
        <v>140.038969059</v>
      </c>
      <c r="V74" s="106">
        <f t="shared" si="7"/>
        <v>56.01558762</v>
      </c>
      <c r="W74" s="107">
        <f t="shared" si="8"/>
        <v>7.634924593</v>
      </c>
      <c r="X74" s="108">
        <f t="shared" si="9"/>
        <v>147.6738937</v>
      </c>
      <c r="Y74" s="93">
        <f t="shared" si="10"/>
        <v>0.006845978254</v>
      </c>
      <c r="Z74" s="104">
        <f t="shared" si="11"/>
        <v>0</v>
      </c>
      <c r="AA74" s="104">
        <f t="shared" si="12"/>
        <v>0</v>
      </c>
      <c r="AB74" s="104">
        <f t="shared" si="13"/>
        <v>0</v>
      </c>
      <c r="AC74" s="104">
        <f t="shared" si="14"/>
        <v>0</v>
      </c>
      <c r="AD74" s="105">
        <f t="shared" si="15"/>
        <v>0</v>
      </c>
      <c r="AE74" s="109"/>
      <c r="AF74" s="109"/>
      <c r="AG74" s="109"/>
      <c r="AH74" s="104">
        <f t="shared" si="16"/>
        <v>0</v>
      </c>
      <c r="AI74" s="104">
        <f t="shared" si="17"/>
        <v>0</v>
      </c>
      <c r="AJ74" s="95" t="str">
        <f>IF(Pedido!I84="ATENDE QTD. MÍNIMA",Pedido!H84,"")</f>
        <v/>
      </c>
      <c r="AK74" s="110">
        <f t="shared" si="18"/>
        <v>0</v>
      </c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</row>
    <row r="75" ht="15.75" customHeight="1">
      <c r="A75" s="98" t="s">
        <v>371</v>
      </c>
      <c r="B75" s="99"/>
      <c r="C75" s="100"/>
      <c r="D75" s="100"/>
      <c r="E75" s="100"/>
      <c r="F75" s="103">
        <v>76.0</v>
      </c>
      <c r="G75" s="102" t="s">
        <v>577</v>
      </c>
      <c r="H75" s="102" t="s">
        <v>236</v>
      </c>
      <c r="I75" s="102" t="s">
        <v>41</v>
      </c>
      <c r="J75" s="102" t="s">
        <v>94</v>
      </c>
      <c r="K75" s="121" t="s">
        <v>415</v>
      </c>
      <c r="L75" s="199">
        <v>0.1</v>
      </c>
      <c r="M75" s="200"/>
      <c r="N75" s="87">
        <v>164.635515</v>
      </c>
      <c r="O75" s="104">
        <f t="shared" si="1"/>
        <v>164.6286999</v>
      </c>
      <c r="P75" s="104">
        <f t="shared" si="2"/>
        <v>26.40019301</v>
      </c>
      <c r="Q75" s="104">
        <f t="shared" si="3"/>
        <v>191.028893</v>
      </c>
      <c r="R75" s="104">
        <f t="shared" si="4"/>
        <v>5.908110091</v>
      </c>
      <c r="S75" s="105">
        <f t="shared" si="5"/>
        <v>196.937003</v>
      </c>
      <c r="T75" s="104">
        <f t="shared" si="6"/>
        <v>65.64566768</v>
      </c>
      <c r="U75" s="106">
        <v>262.582670724</v>
      </c>
      <c r="V75" s="106">
        <f t="shared" si="7"/>
        <v>105.0330683</v>
      </c>
      <c r="W75" s="107">
        <f t="shared" si="8"/>
        <v>14.31600721</v>
      </c>
      <c r="X75" s="108">
        <f t="shared" si="9"/>
        <v>276.8986779</v>
      </c>
      <c r="Y75" s="93">
        <f t="shared" si="10"/>
        <v>0.006815054216</v>
      </c>
      <c r="Z75" s="104">
        <f t="shared" si="11"/>
        <v>0</v>
      </c>
      <c r="AA75" s="104">
        <f t="shared" si="12"/>
        <v>0</v>
      </c>
      <c r="AB75" s="104">
        <f t="shared" si="13"/>
        <v>0</v>
      </c>
      <c r="AC75" s="104">
        <f t="shared" si="14"/>
        <v>0</v>
      </c>
      <c r="AD75" s="105">
        <f t="shared" si="15"/>
        <v>0</v>
      </c>
      <c r="AE75" s="109"/>
      <c r="AF75" s="109"/>
      <c r="AG75" s="109"/>
      <c r="AH75" s="104">
        <f t="shared" si="16"/>
        <v>0</v>
      </c>
      <c r="AI75" s="104">
        <f t="shared" si="17"/>
        <v>0</v>
      </c>
      <c r="AJ75" s="95" t="str">
        <f>IF(Pedido!I85="ATENDE QTD. MÍNIMA",Pedido!H85,"")</f>
        <v/>
      </c>
      <c r="AK75" s="110">
        <f t="shared" si="18"/>
        <v>0</v>
      </c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ht="15.75" customHeight="1">
      <c r="A76" s="98" t="s">
        <v>371</v>
      </c>
      <c r="B76" s="99"/>
      <c r="C76" s="100"/>
      <c r="D76" s="100"/>
      <c r="E76" s="114"/>
      <c r="F76" s="103">
        <v>77.0</v>
      </c>
      <c r="G76" s="102" t="s">
        <v>234</v>
      </c>
      <c r="H76" s="102" t="s">
        <v>578</v>
      </c>
      <c r="I76" s="102" t="s">
        <v>232</v>
      </c>
      <c r="J76" s="102" t="s">
        <v>66</v>
      </c>
      <c r="K76" s="117" t="s">
        <v>415</v>
      </c>
      <c r="L76" s="199">
        <v>0.1</v>
      </c>
      <c r="M76" s="200"/>
      <c r="N76" s="87">
        <v>164.635515</v>
      </c>
      <c r="O76" s="104">
        <f t="shared" si="1"/>
        <v>164.6286999</v>
      </c>
      <c r="P76" s="104">
        <f t="shared" si="2"/>
        <v>26.40019301</v>
      </c>
      <c r="Q76" s="104">
        <f t="shared" si="3"/>
        <v>191.028893</v>
      </c>
      <c r="R76" s="104">
        <f t="shared" si="4"/>
        <v>5.908110091</v>
      </c>
      <c r="S76" s="105">
        <f t="shared" si="5"/>
        <v>196.937003</v>
      </c>
      <c r="T76" s="104">
        <f t="shared" si="6"/>
        <v>65.64566768</v>
      </c>
      <c r="U76" s="106">
        <v>262.582670724</v>
      </c>
      <c r="V76" s="106">
        <f t="shared" si="7"/>
        <v>105.0330683</v>
      </c>
      <c r="W76" s="107">
        <f t="shared" si="8"/>
        <v>14.31600721</v>
      </c>
      <c r="X76" s="108">
        <f t="shared" si="9"/>
        <v>276.8986779</v>
      </c>
      <c r="Y76" s="93">
        <f t="shared" si="10"/>
        <v>0.006815054216</v>
      </c>
      <c r="Z76" s="104">
        <f t="shared" si="11"/>
        <v>0</v>
      </c>
      <c r="AA76" s="104">
        <f t="shared" si="12"/>
        <v>0</v>
      </c>
      <c r="AB76" s="104">
        <f t="shared" si="13"/>
        <v>0</v>
      </c>
      <c r="AC76" s="104">
        <f t="shared" si="14"/>
        <v>0</v>
      </c>
      <c r="AD76" s="105">
        <f t="shared" si="15"/>
        <v>0</v>
      </c>
      <c r="AE76" s="109"/>
      <c r="AF76" s="109"/>
      <c r="AG76" s="109"/>
      <c r="AH76" s="104">
        <f t="shared" si="16"/>
        <v>0</v>
      </c>
      <c r="AI76" s="104">
        <f t="shared" si="17"/>
        <v>0</v>
      </c>
      <c r="AJ76" s="95" t="str">
        <f>IF(Pedido!I86="ATENDE QTD. MÍNIMA",Pedido!H86,"")</f>
        <v/>
      </c>
      <c r="AK76" s="110">
        <f t="shared" si="18"/>
        <v>0</v>
      </c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</row>
    <row r="77" ht="15.75" customHeight="1">
      <c r="A77" s="98" t="s">
        <v>371</v>
      </c>
      <c r="B77" s="99"/>
      <c r="C77" s="100"/>
      <c r="D77" s="120" t="s">
        <v>372</v>
      </c>
      <c r="E77" s="102" t="s">
        <v>581</v>
      </c>
      <c r="F77" s="103">
        <v>80.0</v>
      </c>
      <c r="G77" s="102" t="s">
        <v>244</v>
      </c>
      <c r="H77" s="102" t="s">
        <v>580</v>
      </c>
      <c r="I77" s="102" t="s">
        <v>242</v>
      </c>
      <c r="J77" s="102" t="s">
        <v>34</v>
      </c>
      <c r="K77" s="102" t="s">
        <v>118</v>
      </c>
      <c r="L77" s="199">
        <v>2.0</v>
      </c>
      <c r="M77" s="200"/>
      <c r="N77" s="87">
        <v>46.48209373500001</v>
      </c>
      <c r="O77" s="111">
        <f t="shared" si="1"/>
        <v>46.48904693</v>
      </c>
      <c r="P77" s="104">
        <f t="shared" si="2"/>
        <v>7.455078075</v>
      </c>
      <c r="Q77" s="104">
        <f t="shared" si="3"/>
        <v>53.944125</v>
      </c>
      <c r="R77" s="104">
        <f t="shared" si="4"/>
        <v>1.668375</v>
      </c>
      <c r="S77" s="105">
        <f t="shared" si="5"/>
        <v>55.6125</v>
      </c>
      <c r="T77" s="104">
        <f t="shared" si="6"/>
        <v>18.5375</v>
      </c>
      <c r="U77" s="106">
        <v>74.15</v>
      </c>
      <c r="V77" s="106">
        <f t="shared" si="7"/>
        <v>29.66</v>
      </c>
      <c r="W77" s="107">
        <f t="shared" si="8"/>
        <v>4.042658</v>
      </c>
      <c r="X77" s="108">
        <f t="shared" si="9"/>
        <v>78.192658</v>
      </c>
      <c r="Y77" s="93">
        <f t="shared" si="10"/>
        <v>-0.00695319</v>
      </c>
      <c r="Z77" s="104">
        <f t="shared" si="11"/>
        <v>0</v>
      </c>
      <c r="AA77" s="104">
        <f t="shared" si="12"/>
        <v>0</v>
      </c>
      <c r="AB77" s="104">
        <f t="shared" si="13"/>
        <v>0</v>
      </c>
      <c r="AC77" s="104">
        <f t="shared" si="14"/>
        <v>0</v>
      </c>
      <c r="AD77" s="105">
        <f t="shared" si="15"/>
        <v>0</v>
      </c>
      <c r="AE77" s="109"/>
      <c r="AF77" s="109"/>
      <c r="AG77" s="109"/>
      <c r="AH77" s="104">
        <f t="shared" si="16"/>
        <v>0</v>
      </c>
      <c r="AI77" s="104">
        <f t="shared" si="17"/>
        <v>0</v>
      </c>
      <c r="AJ77" s="95" t="str">
        <f>IF(Pedido!I87="ATENDE QTD. MÍNIMA",Pedido!H87,"")</f>
        <v/>
      </c>
      <c r="AK77" s="110">
        <f t="shared" si="18"/>
        <v>0</v>
      </c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ht="15.75" customHeight="1">
      <c r="A78" s="98" t="s">
        <v>371</v>
      </c>
      <c r="B78" s="119" t="s">
        <v>431</v>
      </c>
      <c r="C78" s="100"/>
      <c r="D78" s="100"/>
      <c r="E78" s="114"/>
      <c r="F78" s="103">
        <v>81.0</v>
      </c>
      <c r="G78" s="120" t="s">
        <v>247</v>
      </c>
      <c r="H78" s="102" t="s">
        <v>583</v>
      </c>
      <c r="I78" s="102" t="s">
        <v>245</v>
      </c>
      <c r="J78" s="112" t="s">
        <v>34</v>
      </c>
      <c r="K78" s="117" t="s">
        <v>415</v>
      </c>
      <c r="L78" s="199">
        <v>0.5</v>
      </c>
      <c r="M78" s="200"/>
      <c r="N78" s="87">
        <v>164.635515</v>
      </c>
      <c r="O78" s="113">
        <f t="shared" si="1"/>
        <v>164.6286999</v>
      </c>
      <c r="P78" s="104">
        <f t="shared" si="2"/>
        <v>26.40019301</v>
      </c>
      <c r="Q78" s="104">
        <f t="shared" si="3"/>
        <v>191.028893</v>
      </c>
      <c r="R78" s="104">
        <f t="shared" si="4"/>
        <v>5.908110091</v>
      </c>
      <c r="S78" s="105">
        <f t="shared" si="5"/>
        <v>196.937003</v>
      </c>
      <c r="T78" s="104">
        <f t="shared" si="6"/>
        <v>65.64566768</v>
      </c>
      <c r="U78" s="106">
        <v>262.582670724</v>
      </c>
      <c r="V78" s="106">
        <f t="shared" si="7"/>
        <v>105.0330683</v>
      </c>
      <c r="W78" s="107">
        <f t="shared" si="8"/>
        <v>14.31600721</v>
      </c>
      <c r="X78" s="108">
        <f t="shared" si="9"/>
        <v>276.8986779</v>
      </c>
      <c r="Y78" s="93">
        <f t="shared" si="10"/>
        <v>0.006815054216</v>
      </c>
      <c r="Z78" s="104">
        <f t="shared" si="11"/>
        <v>0</v>
      </c>
      <c r="AA78" s="104">
        <f t="shared" si="12"/>
        <v>0</v>
      </c>
      <c r="AB78" s="104">
        <f t="shared" si="13"/>
        <v>0</v>
      </c>
      <c r="AC78" s="104">
        <f t="shared" si="14"/>
        <v>0</v>
      </c>
      <c r="AD78" s="105">
        <f t="shared" si="15"/>
        <v>0</v>
      </c>
      <c r="AE78" s="109"/>
      <c r="AF78" s="109"/>
      <c r="AG78" s="109"/>
      <c r="AH78" s="104">
        <f t="shared" si="16"/>
        <v>0</v>
      </c>
      <c r="AI78" s="104">
        <f t="shared" si="17"/>
        <v>0</v>
      </c>
      <c r="AJ78" s="95" t="str">
        <f>IF(Pedido!I88="ATENDE QTD. MÍNIMA",Pedido!H88,"")</f>
        <v/>
      </c>
      <c r="AK78" s="110">
        <f t="shared" si="18"/>
        <v>0</v>
      </c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ht="15.75" customHeight="1">
      <c r="A79" s="98" t="s">
        <v>371</v>
      </c>
      <c r="B79" s="99"/>
      <c r="C79" s="100"/>
      <c r="D79" s="100"/>
      <c r="E79" s="102" t="s">
        <v>585</v>
      </c>
      <c r="F79" s="103">
        <v>82.0</v>
      </c>
      <c r="G79" s="102" t="s">
        <v>249</v>
      </c>
      <c r="H79" s="102" t="s">
        <v>248</v>
      </c>
      <c r="I79" s="102" t="s">
        <v>45</v>
      </c>
      <c r="J79" s="102" t="s">
        <v>42</v>
      </c>
      <c r="K79" s="102" t="s">
        <v>118</v>
      </c>
      <c r="L79" s="199">
        <v>0.5</v>
      </c>
      <c r="M79" s="200"/>
      <c r="N79" s="87">
        <v>209.66</v>
      </c>
      <c r="O79" s="113">
        <f t="shared" si="1"/>
        <v>209.6600844</v>
      </c>
      <c r="P79" s="104">
        <f t="shared" si="2"/>
        <v>33.62151736</v>
      </c>
      <c r="Q79" s="104">
        <f t="shared" si="3"/>
        <v>243.2816018</v>
      </c>
      <c r="R79" s="104">
        <f t="shared" si="4"/>
        <v>7.52417325</v>
      </c>
      <c r="S79" s="105">
        <f t="shared" si="5"/>
        <v>250.805775</v>
      </c>
      <c r="T79" s="104">
        <f t="shared" si="6"/>
        <v>83.601925</v>
      </c>
      <c r="U79" s="106">
        <v>334.4077</v>
      </c>
      <c r="V79" s="106">
        <f t="shared" si="7"/>
        <v>133.76308</v>
      </c>
      <c r="W79" s="107">
        <f t="shared" si="8"/>
        <v>18.2319078</v>
      </c>
      <c r="X79" s="108">
        <f t="shared" si="9"/>
        <v>352.6396078</v>
      </c>
      <c r="Y79" s="93">
        <f t="shared" si="10"/>
        <v>-0.00008438814999</v>
      </c>
      <c r="Z79" s="104">
        <f t="shared" si="11"/>
        <v>0</v>
      </c>
      <c r="AA79" s="104">
        <f t="shared" si="12"/>
        <v>0</v>
      </c>
      <c r="AB79" s="104">
        <f t="shared" si="13"/>
        <v>0</v>
      </c>
      <c r="AC79" s="104">
        <f t="shared" si="14"/>
        <v>0</v>
      </c>
      <c r="AD79" s="105">
        <f t="shared" si="15"/>
        <v>0</v>
      </c>
      <c r="AE79" s="109"/>
      <c r="AF79" s="109"/>
      <c r="AG79" s="109"/>
      <c r="AH79" s="104">
        <f t="shared" si="16"/>
        <v>0</v>
      </c>
      <c r="AI79" s="104">
        <f t="shared" si="17"/>
        <v>0</v>
      </c>
      <c r="AJ79" s="95" t="str">
        <f>IF(Pedido!I89="ATENDE QTD. MÍNIMA",Pedido!H89,"")</f>
        <v/>
      </c>
      <c r="AK79" s="110">
        <f t="shared" si="18"/>
        <v>0</v>
      </c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ht="15.75" customHeight="1">
      <c r="A80" s="98" t="s">
        <v>371</v>
      </c>
      <c r="B80" s="99"/>
      <c r="C80" s="100"/>
      <c r="D80" s="114"/>
      <c r="E80" s="102" t="s">
        <v>587</v>
      </c>
      <c r="F80" s="103">
        <v>83.0</v>
      </c>
      <c r="G80" s="102" t="s">
        <v>253</v>
      </c>
      <c r="H80" s="102" t="s">
        <v>252</v>
      </c>
      <c r="I80" s="102" t="s">
        <v>135</v>
      </c>
      <c r="J80" s="102" t="s">
        <v>34</v>
      </c>
      <c r="K80" s="102" t="s">
        <v>118</v>
      </c>
      <c r="L80" s="199">
        <v>1.0</v>
      </c>
      <c r="M80" s="200"/>
      <c r="N80" s="87">
        <v>66.40299105000001</v>
      </c>
      <c r="O80" s="111">
        <f t="shared" si="1"/>
        <v>66.39501105</v>
      </c>
      <c r="P80" s="104">
        <f t="shared" si="2"/>
        <v>10.64723895</v>
      </c>
      <c r="Q80" s="104">
        <f t="shared" si="3"/>
        <v>77.04225</v>
      </c>
      <c r="R80" s="104">
        <f t="shared" si="4"/>
        <v>2.38275</v>
      </c>
      <c r="S80" s="105">
        <f t="shared" si="5"/>
        <v>79.425</v>
      </c>
      <c r="T80" s="104">
        <f t="shared" si="6"/>
        <v>26.475</v>
      </c>
      <c r="U80" s="106">
        <v>105.9</v>
      </c>
      <c r="V80" s="106">
        <f t="shared" si="7"/>
        <v>42.36</v>
      </c>
      <c r="W80" s="107">
        <f t="shared" si="8"/>
        <v>5.773668</v>
      </c>
      <c r="X80" s="108">
        <f t="shared" si="9"/>
        <v>111.673668</v>
      </c>
      <c r="Y80" s="93">
        <f t="shared" si="10"/>
        <v>0.00798</v>
      </c>
      <c r="Z80" s="104">
        <f t="shared" si="11"/>
        <v>0</v>
      </c>
      <c r="AA80" s="104">
        <f t="shared" si="12"/>
        <v>0</v>
      </c>
      <c r="AB80" s="104">
        <f t="shared" si="13"/>
        <v>0</v>
      </c>
      <c r="AC80" s="104">
        <f t="shared" si="14"/>
        <v>0</v>
      </c>
      <c r="AD80" s="105">
        <f t="shared" si="15"/>
        <v>0</v>
      </c>
      <c r="AE80" s="109"/>
      <c r="AF80" s="109"/>
      <c r="AG80" s="109"/>
      <c r="AH80" s="104">
        <f t="shared" si="16"/>
        <v>0</v>
      </c>
      <c r="AI80" s="104">
        <f t="shared" si="17"/>
        <v>0</v>
      </c>
      <c r="AJ80" s="95" t="str">
        <f>IF(Pedido!I90="ATENDE QTD. MÍNIMA",Pedido!H90,"")</f>
        <v/>
      </c>
      <c r="AK80" s="110">
        <f t="shared" si="18"/>
        <v>0</v>
      </c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ht="15.75" customHeight="1">
      <c r="A81" s="98" t="s">
        <v>371</v>
      </c>
      <c r="B81" s="99"/>
      <c r="C81" s="100"/>
      <c r="D81" s="100"/>
      <c r="E81" s="102" t="s">
        <v>589</v>
      </c>
      <c r="F81" s="103">
        <v>87.0</v>
      </c>
      <c r="G81" s="102" t="s">
        <v>258</v>
      </c>
      <c r="H81" s="102" t="s">
        <v>257</v>
      </c>
      <c r="I81" s="102" t="s">
        <v>33</v>
      </c>
      <c r="J81" s="102" t="s">
        <v>34</v>
      </c>
      <c r="K81" s="102" t="s">
        <v>35</v>
      </c>
      <c r="L81" s="199">
        <v>0.2</v>
      </c>
      <c r="M81" s="200"/>
      <c r="N81" s="87">
        <v>144.87925320000002</v>
      </c>
      <c r="O81" s="113">
        <f t="shared" si="1"/>
        <v>144.8793115</v>
      </c>
      <c r="P81" s="104">
        <f t="shared" si="2"/>
        <v>23.23314093</v>
      </c>
      <c r="Q81" s="104">
        <f t="shared" si="3"/>
        <v>168.1124524</v>
      </c>
      <c r="R81" s="104">
        <f t="shared" si="4"/>
        <v>5.199354199</v>
      </c>
      <c r="S81" s="105">
        <f t="shared" si="5"/>
        <v>173.3118066</v>
      </c>
      <c r="T81" s="104">
        <f t="shared" si="6"/>
        <v>57.77060221</v>
      </c>
      <c r="U81" s="106">
        <v>231.08240885400002</v>
      </c>
      <c r="V81" s="106">
        <f t="shared" si="7"/>
        <v>92.43296354</v>
      </c>
      <c r="W81" s="107">
        <f t="shared" si="8"/>
        <v>12.59861293</v>
      </c>
      <c r="X81" s="108">
        <f t="shared" si="9"/>
        <v>243.6810218</v>
      </c>
      <c r="Y81" s="93">
        <f t="shared" si="10"/>
        <v>-0.00005831389939</v>
      </c>
      <c r="Z81" s="104">
        <f t="shared" si="11"/>
        <v>0</v>
      </c>
      <c r="AA81" s="104">
        <f t="shared" si="12"/>
        <v>0</v>
      </c>
      <c r="AB81" s="104">
        <f t="shared" si="13"/>
        <v>0</v>
      </c>
      <c r="AC81" s="104">
        <f t="shared" si="14"/>
        <v>0</v>
      </c>
      <c r="AD81" s="105">
        <f t="shared" si="15"/>
        <v>0</v>
      </c>
      <c r="AE81" s="109"/>
      <c r="AF81" s="109"/>
      <c r="AG81" s="109"/>
      <c r="AH81" s="104">
        <f t="shared" si="16"/>
        <v>0</v>
      </c>
      <c r="AI81" s="104">
        <f t="shared" si="17"/>
        <v>0</v>
      </c>
      <c r="AJ81" s="95" t="str">
        <f>IF(Pedido!I91="ATENDE QTD. MÍNIMA",Pedido!H91,"")</f>
        <v/>
      </c>
      <c r="AK81" s="110">
        <f t="shared" si="18"/>
        <v>0</v>
      </c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ht="15.75" customHeight="1">
      <c r="A82" s="98" t="s">
        <v>371</v>
      </c>
      <c r="B82" s="99"/>
      <c r="C82" s="100"/>
      <c r="D82" s="100"/>
      <c r="E82" s="102" t="s">
        <v>591</v>
      </c>
      <c r="F82" s="103">
        <v>89.0</v>
      </c>
      <c r="G82" s="102" t="s">
        <v>264</v>
      </c>
      <c r="H82" s="102" t="s">
        <v>263</v>
      </c>
      <c r="I82" s="102" t="s">
        <v>262</v>
      </c>
      <c r="J82" s="102" t="s">
        <v>66</v>
      </c>
      <c r="K82" s="102" t="s">
        <v>35</v>
      </c>
      <c r="L82" s="199">
        <v>0.1</v>
      </c>
      <c r="M82" s="200"/>
      <c r="N82" s="87">
        <v>132.80598210000002</v>
      </c>
      <c r="O82" s="113">
        <f t="shared" si="1"/>
        <v>132.8060356</v>
      </c>
      <c r="P82" s="104">
        <f t="shared" si="2"/>
        <v>21.29704585</v>
      </c>
      <c r="Q82" s="104">
        <f t="shared" si="3"/>
        <v>154.1030814</v>
      </c>
      <c r="R82" s="104">
        <f t="shared" si="4"/>
        <v>4.766074683</v>
      </c>
      <c r="S82" s="105">
        <f t="shared" si="5"/>
        <v>158.8691561</v>
      </c>
      <c r="T82" s="104">
        <f t="shared" si="6"/>
        <v>52.95638536</v>
      </c>
      <c r="U82" s="106">
        <v>211.82554144950004</v>
      </c>
      <c r="V82" s="106">
        <f t="shared" si="7"/>
        <v>84.73021658</v>
      </c>
      <c r="W82" s="107">
        <f t="shared" si="8"/>
        <v>11.54872852</v>
      </c>
      <c r="X82" s="108">
        <f t="shared" si="9"/>
        <v>223.37427</v>
      </c>
      <c r="Y82" s="93">
        <f t="shared" si="10"/>
        <v>-0.00005345440781</v>
      </c>
      <c r="Z82" s="104">
        <f t="shared" si="11"/>
        <v>0</v>
      </c>
      <c r="AA82" s="104">
        <f t="shared" si="12"/>
        <v>0</v>
      </c>
      <c r="AB82" s="104">
        <f t="shared" si="13"/>
        <v>0</v>
      </c>
      <c r="AC82" s="104">
        <f t="shared" si="14"/>
        <v>0</v>
      </c>
      <c r="AD82" s="105">
        <f t="shared" si="15"/>
        <v>0</v>
      </c>
      <c r="AE82" s="109"/>
      <c r="AF82" s="109"/>
      <c r="AG82" s="109"/>
      <c r="AH82" s="104">
        <f t="shared" si="16"/>
        <v>0</v>
      </c>
      <c r="AI82" s="104">
        <f t="shared" si="17"/>
        <v>0</v>
      </c>
      <c r="AJ82" s="95" t="str">
        <f>IF(Pedido!I92="ATENDE QTD. MÍNIMA",Pedido!H92,"")</f>
        <v/>
      </c>
      <c r="AK82" s="110">
        <f t="shared" si="18"/>
        <v>0</v>
      </c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ht="15.75" customHeight="1">
      <c r="A83" s="98" t="s">
        <v>371</v>
      </c>
      <c r="B83" s="99"/>
      <c r="C83" s="100"/>
      <c r="D83" s="100"/>
      <c r="E83" s="100"/>
      <c r="F83" s="103">
        <v>117.0</v>
      </c>
      <c r="G83" s="102" t="s">
        <v>594</v>
      </c>
      <c r="H83" s="102" t="s">
        <v>267</v>
      </c>
      <c r="I83" s="102" t="s">
        <v>159</v>
      </c>
      <c r="J83" s="102" t="s">
        <v>94</v>
      </c>
      <c r="K83" s="123" t="s">
        <v>415</v>
      </c>
      <c r="L83" s="199">
        <v>0.1</v>
      </c>
      <c r="M83" s="200"/>
      <c r="N83" s="87">
        <v>126.16568299500004</v>
      </c>
      <c r="O83" s="111">
        <f t="shared" si="1"/>
        <v>126.1693298</v>
      </c>
      <c r="P83" s="104">
        <f t="shared" si="2"/>
        <v>20.23277022</v>
      </c>
      <c r="Q83" s="104">
        <f t="shared" si="3"/>
        <v>146.4021</v>
      </c>
      <c r="R83" s="104">
        <f t="shared" si="4"/>
        <v>4.5279</v>
      </c>
      <c r="S83" s="105">
        <f t="shared" si="5"/>
        <v>150.93</v>
      </c>
      <c r="T83" s="104">
        <f t="shared" si="6"/>
        <v>50.31</v>
      </c>
      <c r="U83" s="106">
        <v>201.24</v>
      </c>
      <c r="V83" s="106">
        <f t="shared" si="7"/>
        <v>80.496</v>
      </c>
      <c r="W83" s="107">
        <f t="shared" si="8"/>
        <v>10.9716048</v>
      </c>
      <c r="X83" s="108">
        <f t="shared" si="9"/>
        <v>212.2116048</v>
      </c>
      <c r="Y83" s="93">
        <f t="shared" si="10"/>
        <v>-0.003646785</v>
      </c>
      <c r="Z83" s="104">
        <f t="shared" si="11"/>
        <v>0</v>
      </c>
      <c r="AA83" s="104">
        <f t="shared" si="12"/>
        <v>0</v>
      </c>
      <c r="AB83" s="104">
        <f t="shared" si="13"/>
        <v>0</v>
      </c>
      <c r="AC83" s="104">
        <f t="shared" si="14"/>
        <v>0</v>
      </c>
      <c r="AD83" s="105">
        <f t="shared" si="15"/>
        <v>0</v>
      </c>
      <c r="AE83" s="109"/>
      <c r="AF83" s="109"/>
      <c r="AG83" s="109"/>
      <c r="AH83" s="104">
        <f t="shared" si="16"/>
        <v>0</v>
      </c>
      <c r="AI83" s="104">
        <f t="shared" si="17"/>
        <v>0</v>
      </c>
      <c r="AJ83" s="95" t="str">
        <f>IF(Pedido!I93="ATENDE QTD. MÍNIMA",Pedido!H93,"")</f>
        <v/>
      </c>
      <c r="AK83" s="110">
        <f t="shared" si="18"/>
        <v>0</v>
      </c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ht="15.75" customHeight="1">
      <c r="A84" s="98" t="s">
        <v>371</v>
      </c>
      <c r="B84" s="119" t="s">
        <v>431</v>
      </c>
      <c r="C84" s="100"/>
      <c r="D84" s="101"/>
      <c r="E84" s="101"/>
      <c r="F84" s="103">
        <v>140.0</v>
      </c>
      <c r="G84" s="102" t="s">
        <v>597</v>
      </c>
      <c r="H84" s="112" t="s">
        <v>595</v>
      </c>
      <c r="I84" s="117" t="s">
        <v>415</v>
      </c>
      <c r="J84" s="117" t="s">
        <v>415</v>
      </c>
      <c r="K84" s="117" t="s">
        <v>415</v>
      </c>
      <c r="L84" s="199">
        <v>0.1</v>
      </c>
      <c r="M84" s="200"/>
      <c r="N84" s="87">
        <v>157.245</v>
      </c>
      <c r="O84" s="111">
        <f t="shared" si="1"/>
        <v>157.2414426</v>
      </c>
      <c r="P84" s="104">
        <f t="shared" si="2"/>
        <v>25.2155574</v>
      </c>
      <c r="Q84" s="104">
        <f t="shared" si="3"/>
        <v>182.457</v>
      </c>
      <c r="R84" s="104">
        <f t="shared" si="4"/>
        <v>5.643</v>
      </c>
      <c r="S84" s="105">
        <f t="shared" si="5"/>
        <v>188.1</v>
      </c>
      <c r="T84" s="104">
        <f t="shared" si="6"/>
        <v>62.7</v>
      </c>
      <c r="U84" s="106">
        <v>250.8</v>
      </c>
      <c r="V84" s="106">
        <f t="shared" si="7"/>
        <v>100.32</v>
      </c>
      <c r="W84" s="107">
        <f t="shared" si="8"/>
        <v>13.673616</v>
      </c>
      <c r="X84" s="108">
        <f t="shared" si="9"/>
        <v>264.473616</v>
      </c>
      <c r="Y84" s="93">
        <f t="shared" si="10"/>
        <v>0.0035574</v>
      </c>
      <c r="Z84" s="104">
        <f t="shared" si="11"/>
        <v>0</v>
      </c>
      <c r="AA84" s="104">
        <f t="shared" si="12"/>
        <v>0</v>
      </c>
      <c r="AB84" s="104">
        <f t="shared" si="13"/>
        <v>0</v>
      </c>
      <c r="AC84" s="104">
        <f t="shared" si="14"/>
        <v>0</v>
      </c>
      <c r="AD84" s="105">
        <f t="shared" si="15"/>
        <v>0</v>
      </c>
      <c r="AE84" s="109"/>
      <c r="AF84" s="109"/>
      <c r="AG84" s="109"/>
      <c r="AH84" s="104">
        <f t="shared" si="16"/>
        <v>0</v>
      </c>
      <c r="AI84" s="104">
        <f t="shared" si="17"/>
        <v>0</v>
      </c>
      <c r="AJ84" s="95" t="str">
        <f>IF(Pedido!I94="ATENDE QTD. MÍNIMA",Pedido!H94,"")</f>
        <v/>
      </c>
      <c r="AK84" s="110">
        <f t="shared" si="18"/>
        <v>0</v>
      </c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ht="15.75" customHeight="1">
      <c r="A85" s="98" t="s">
        <v>371</v>
      </c>
      <c r="B85" s="99"/>
      <c r="C85" s="100"/>
      <c r="D85" s="114"/>
      <c r="E85" s="102" t="s">
        <v>600</v>
      </c>
      <c r="F85" s="103">
        <v>94.0</v>
      </c>
      <c r="G85" s="102" t="s">
        <v>274</v>
      </c>
      <c r="H85" s="102" t="s">
        <v>599</v>
      </c>
      <c r="I85" s="102" t="s">
        <v>272</v>
      </c>
      <c r="J85" s="102" t="s">
        <v>34</v>
      </c>
      <c r="K85" s="121" t="s">
        <v>415</v>
      </c>
      <c r="L85" s="199">
        <v>0.1</v>
      </c>
      <c r="M85" s="200"/>
      <c r="N85" s="87">
        <v>65.854206</v>
      </c>
      <c r="O85" s="113">
        <f t="shared" si="1"/>
        <v>65.84735119</v>
      </c>
      <c r="P85" s="104">
        <f t="shared" si="2"/>
        <v>10.5594151</v>
      </c>
      <c r="Q85" s="104">
        <f t="shared" si="3"/>
        <v>76.40676629</v>
      </c>
      <c r="R85" s="104">
        <f t="shared" si="4"/>
        <v>2.363095865</v>
      </c>
      <c r="S85" s="105">
        <f t="shared" si="5"/>
        <v>78.76986215</v>
      </c>
      <c r="T85" s="104">
        <f t="shared" si="6"/>
        <v>26.25662072</v>
      </c>
      <c r="U85" s="106">
        <v>105.02648286899999</v>
      </c>
      <c r="V85" s="106">
        <f t="shared" si="7"/>
        <v>42.01059315</v>
      </c>
      <c r="W85" s="107">
        <f t="shared" si="8"/>
        <v>5.726043846</v>
      </c>
      <c r="X85" s="108">
        <f t="shared" si="9"/>
        <v>110.7525267</v>
      </c>
      <c r="Y85" s="93">
        <f t="shared" si="10"/>
        <v>0.006854813693</v>
      </c>
      <c r="Z85" s="104">
        <f t="shared" si="11"/>
        <v>0</v>
      </c>
      <c r="AA85" s="104">
        <f t="shared" si="12"/>
        <v>0</v>
      </c>
      <c r="AB85" s="104">
        <f t="shared" si="13"/>
        <v>0</v>
      </c>
      <c r="AC85" s="104">
        <f t="shared" si="14"/>
        <v>0</v>
      </c>
      <c r="AD85" s="105">
        <f t="shared" si="15"/>
        <v>0</v>
      </c>
      <c r="AE85" s="109"/>
      <c r="AF85" s="109"/>
      <c r="AG85" s="109"/>
      <c r="AH85" s="104">
        <f t="shared" si="16"/>
        <v>0</v>
      </c>
      <c r="AI85" s="104">
        <f t="shared" si="17"/>
        <v>0</v>
      </c>
      <c r="AJ85" s="95" t="str">
        <f>IF(Pedido!I95="ATENDE QTD. MÍNIMA",Pedido!H95,"")</f>
        <v/>
      </c>
      <c r="AK85" s="110">
        <f t="shared" si="18"/>
        <v>0</v>
      </c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ht="15.75" customHeight="1">
      <c r="A86" s="98" t="s">
        <v>371</v>
      </c>
      <c r="B86" s="99"/>
      <c r="C86" s="100"/>
      <c r="D86" s="100"/>
      <c r="E86" s="102" t="s">
        <v>603</v>
      </c>
      <c r="F86" s="103">
        <v>95.0</v>
      </c>
      <c r="G86" s="102" t="s">
        <v>278</v>
      </c>
      <c r="H86" s="102" t="s">
        <v>602</v>
      </c>
      <c r="I86" s="102" t="s">
        <v>217</v>
      </c>
      <c r="J86" s="102" t="s">
        <v>66</v>
      </c>
      <c r="K86" s="102" t="s">
        <v>35</v>
      </c>
      <c r="L86" s="199">
        <v>0.1</v>
      </c>
      <c r="M86" s="200"/>
      <c r="N86" s="87">
        <v>132.80598210000002</v>
      </c>
      <c r="O86" s="113">
        <f t="shared" si="1"/>
        <v>132.8060356</v>
      </c>
      <c r="P86" s="104">
        <f t="shared" si="2"/>
        <v>21.29704585</v>
      </c>
      <c r="Q86" s="104">
        <f t="shared" si="3"/>
        <v>154.1030814</v>
      </c>
      <c r="R86" s="104">
        <f t="shared" si="4"/>
        <v>4.766074683</v>
      </c>
      <c r="S86" s="105">
        <f t="shared" si="5"/>
        <v>158.8691561</v>
      </c>
      <c r="T86" s="104">
        <f t="shared" si="6"/>
        <v>52.95638536</v>
      </c>
      <c r="U86" s="106">
        <v>211.82554144950004</v>
      </c>
      <c r="V86" s="106">
        <f t="shared" si="7"/>
        <v>84.73021658</v>
      </c>
      <c r="W86" s="107">
        <f t="shared" si="8"/>
        <v>11.54872852</v>
      </c>
      <c r="X86" s="108">
        <f t="shared" si="9"/>
        <v>223.37427</v>
      </c>
      <c r="Y86" s="93">
        <f t="shared" si="10"/>
        <v>-0.00005345440781</v>
      </c>
      <c r="Z86" s="104">
        <f t="shared" si="11"/>
        <v>0</v>
      </c>
      <c r="AA86" s="104">
        <f t="shared" si="12"/>
        <v>0</v>
      </c>
      <c r="AB86" s="104">
        <f t="shared" si="13"/>
        <v>0</v>
      </c>
      <c r="AC86" s="104">
        <f t="shared" si="14"/>
        <v>0</v>
      </c>
      <c r="AD86" s="105">
        <f t="shared" si="15"/>
        <v>0</v>
      </c>
      <c r="AE86" s="109"/>
      <c r="AF86" s="109"/>
      <c r="AG86" s="109"/>
      <c r="AH86" s="104">
        <f t="shared" si="16"/>
        <v>0</v>
      </c>
      <c r="AI86" s="104">
        <f t="shared" si="17"/>
        <v>0</v>
      </c>
      <c r="AJ86" s="95" t="str">
        <f>IF(Pedido!I96="ATENDE QTD. MÍNIMA",Pedido!H96,"")</f>
        <v/>
      </c>
      <c r="AK86" s="110">
        <f t="shared" si="18"/>
        <v>0</v>
      </c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ht="15.75" customHeight="1">
      <c r="A87" s="98" t="s">
        <v>371</v>
      </c>
      <c r="B87" s="99"/>
      <c r="C87" s="100"/>
      <c r="D87" s="100"/>
      <c r="E87" s="102" t="s">
        <v>606</v>
      </c>
      <c r="F87" s="103">
        <v>96.0</v>
      </c>
      <c r="G87" s="102" t="s">
        <v>280</v>
      </c>
      <c r="H87" s="102" t="s">
        <v>605</v>
      </c>
      <c r="I87" s="102" t="s">
        <v>269</v>
      </c>
      <c r="J87" s="102" t="s">
        <v>66</v>
      </c>
      <c r="K87" s="102" t="s">
        <v>35</v>
      </c>
      <c r="L87" s="199">
        <v>0.1</v>
      </c>
      <c r="M87" s="200"/>
      <c r="N87" s="87">
        <v>159.36717852</v>
      </c>
      <c r="O87" s="113">
        <f t="shared" si="1"/>
        <v>159.3672427</v>
      </c>
      <c r="P87" s="104">
        <f t="shared" si="2"/>
        <v>25.55645502</v>
      </c>
      <c r="Q87" s="104">
        <f t="shared" si="3"/>
        <v>184.9236977</v>
      </c>
      <c r="R87" s="104">
        <f t="shared" si="4"/>
        <v>5.719289619</v>
      </c>
      <c r="S87" s="105">
        <f t="shared" si="5"/>
        <v>190.6429873</v>
      </c>
      <c r="T87" s="104">
        <f t="shared" si="6"/>
        <v>63.54766243</v>
      </c>
      <c r="U87" s="127">
        <v>254.19064973940004</v>
      </c>
      <c r="V87" s="106">
        <f t="shared" si="7"/>
        <v>101.6762599</v>
      </c>
      <c r="W87" s="107">
        <f t="shared" si="8"/>
        <v>13.85847422</v>
      </c>
      <c r="X87" s="108">
        <f t="shared" si="9"/>
        <v>268.049124</v>
      </c>
      <c r="Y87" s="93">
        <f t="shared" si="10"/>
        <v>-0.00006414528937</v>
      </c>
      <c r="Z87" s="104">
        <f t="shared" si="11"/>
        <v>0</v>
      </c>
      <c r="AA87" s="104">
        <f t="shared" si="12"/>
        <v>0</v>
      </c>
      <c r="AB87" s="104">
        <f t="shared" si="13"/>
        <v>0</v>
      </c>
      <c r="AC87" s="104">
        <f t="shared" si="14"/>
        <v>0</v>
      </c>
      <c r="AD87" s="105">
        <f t="shared" si="15"/>
        <v>0</v>
      </c>
      <c r="AE87" s="109"/>
      <c r="AF87" s="109"/>
      <c r="AG87" s="109"/>
      <c r="AH87" s="104">
        <f t="shared" si="16"/>
        <v>0</v>
      </c>
      <c r="AI87" s="104">
        <f t="shared" si="17"/>
        <v>0</v>
      </c>
      <c r="AJ87" s="95" t="str">
        <f>IF(Pedido!I97="ATENDE QTD. MÍNIMA",Pedido!H97,"")</f>
        <v/>
      </c>
      <c r="AK87" s="110">
        <f t="shared" si="18"/>
        <v>0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ht="15.75" customHeight="1">
      <c r="A88" s="98" t="s">
        <v>371</v>
      </c>
      <c r="B88" s="99"/>
      <c r="C88" s="100"/>
      <c r="D88" s="100"/>
      <c r="E88" s="102" t="s">
        <v>609</v>
      </c>
      <c r="F88" s="103">
        <v>97.0</v>
      </c>
      <c r="G88" s="102" t="s">
        <v>282</v>
      </c>
      <c r="H88" s="102" t="s">
        <v>608</v>
      </c>
      <c r="I88" s="102" t="s">
        <v>269</v>
      </c>
      <c r="J88" s="102" t="s">
        <v>66</v>
      </c>
      <c r="K88" s="102" t="s">
        <v>35</v>
      </c>
      <c r="L88" s="199">
        <v>0.1</v>
      </c>
      <c r="M88" s="200"/>
      <c r="N88" s="87">
        <v>199.20897315000002</v>
      </c>
      <c r="O88" s="111">
        <f t="shared" si="1"/>
        <v>199.2101115</v>
      </c>
      <c r="P88" s="104">
        <f t="shared" si="2"/>
        <v>31.94573847</v>
      </c>
      <c r="Q88" s="104">
        <f t="shared" si="3"/>
        <v>231.15585</v>
      </c>
      <c r="R88" s="104">
        <f t="shared" si="4"/>
        <v>7.14915</v>
      </c>
      <c r="S88" s="105">
        <f t="shared" si="5"/>
        <v>238.305</v>
      </c>
      <c r="T88" s="104">
        <f t="shared" si="6"/>
        <v>79.435</v>
      </c>
      <c r="U88" s="106">
        <v>317.74</v>
      </c>
      <c r="V88" s="106">
        <f t="shared" si="7"/>
        <v>127.096</v>
      </c>
      <c r="W88" s="107">
        <f t="shared" si="8"/>
        <v>17.3231848</v>
      </c>
      <c r="X88" s="108">
        <f t="shared" si="9"/>
        <v>335.0631848</v>
      </c>
      <c r="Y88" s="93">
        <f t="shared" si="10"/>
        <v>-0.00113838</v>
      </c>
      <c r="Z88" s="104">
        <f t="shared" si="11"/>
        <v>0</v>
      </c>
      <c r="AA88" s="104">
        <f t="shared" si="12"/>
        <v>0</v>
      </c>
      <c r="AB88" s="104">
        <f t="shared" si="13"/>
        <v>0</v>
      </c>
      <c r="AC88" s="104">
        <f t="shared" si="14"/>
        <v>0</v>
      </c>
      <c r="AD88" s="105">
        <f t="shared" si="15"/>
        <v>0</v>
      </c>
      <c r="AE88" s="109"/>
      <c r="AF88" s="109"/>
      <c r="AG88" s="109"/>
      <c r="AH88" s="104">
        <f t="shared" si="16"/>
        <v>0</v>
      </c>
      <c r="AI88" s="104">
        <f t="shared" si="17"/>
        <v>0</v>
      </c>
      <c r="AJ88" s="95" t="str">
        <f>IF(Pedido!I98="ATENDE QTD. MÍNIMA",Pedido!H98,"")</f>
        <v/>
      </c>
      <c r="AK88" s="110">
        <f t="shared" si="18"/>
        <v>0</v>
      </c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ht="15.75" customHeight="1">
      <c r="A89" s="98" t="s">
        <v>371</v>
      </c>
      <c r="B89" s="99"/>
      <c r="C89" s="100"/>
      <c r="D89" s="114"/>
      <c r="E89" s="102" t="s">
        <v>611</v>
      </c>
      <c r="F89" s="103">
        <v>98.0</v>
      </c>
      <c r="G89" s="102" t="s">
        <v>285</v>
      </c>
      <c r="H89" s="102" t="s">
        <v>284</v>
      </c>
      <c r="I89" s="102" t="s">
        <v>613</v>
      </c>
      <c r="J89" s="102" t="s">
        <v>34</v>
      </c>
      <c r="K89" s="102" t="s">
        <v>73</v>
      </c>
      <c r="L89" s="199">
        <v>1.0</v>
      </c>
      <c r="M89" s="200"/>
      <c r="N89" s="87">
        <v>25.0</v>
      </c>
      <c r="O89" s="104">
        <f t="shared" si="1"/>
        <v>24.99836514</v>
      </c>
      <c r="P89" s="104">
        <f t="shared" si="2"/>
        <v>4.008788654</v>
      </c>
      <c r="Q89" s="104">
        <f t="shared" si="3"/>
        <v>29.00715379</v>
      </c>
      <c r="R89" s="104">
        <f t="shared" si="4"/>
        <v>0.8971284679</v>
      </c>
      <c r="S89" s="105">
        <f t="shared" si="5"/>
        <v>29.90428226</v>
      </c>
      <c r="T89" s="104">
        <f t="shared" si="6"/>
        <v>9.968094088</v>
      </c>
      <c r="U89" s="118">
        <v>39.872376350383966</v>
      </c>
      <c r="V89" s="106">
        <f t="shared" si="7"/>
        <v>15.94895054</v>
      </c>
      <c r="W89" s="107">
        <f t="shared" si="8"/>
        <v>2.173841959</v>
      </c>
      <c r="X89" s="108">
        <f t="shared" si="9"/>
        <v>42.04621831</v>
      </c>
      <c r="Y89" s="93">
        <f t="shared" si="10"/>
        <v>0.001634859551</v>
      </c>
      <c r="Z89" s="104">
        <f t="shared" si="11"/>
        <v>0</v>
      </c>
      <c r="AA89" s="104">
        <f t="shared" si="12"/>
        <v>0</v>
      </c>
      <c r="AB89" s="104">
        <f t="shared" si="13"/>
        <v>0</v>
      </c>
      <c r="AC89" s="104">
        <f t="shared" si="14"/>
        <v>0</v>
      </c>
      <c r="AD89" s="105">
        <f t="shared" si="15"/>
        <v>0</v>
      </c>
      <c r="AE89" s="109"/>
      <c r="AF89" s="109"/>
      <c r="AG89" s="109"/>
      <c r="AH89" s="104">
        <f t="shared" si="16"/>
        <v>0</v>
      </c>
      <c r="AI89" s="104">
        <f t="shared" si="17"/>
        <v>0</v>
      </c>
      <c r="AJ89" s="95" t="str">
        <f>IF(Pedido!I99="ATENDE QTD. MÍNIMA",Pedido!H99,"")</f>
        <v/>
      </c>
      <c r="AK89" s="110">
        <f t="shared" si="18"/>
        <v>0</v>
      </c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ht="15.75" customHeight="1">
      <c r="A90" s="98" t="s">
        <v>371</v>
      </c>
      <c r="B90" s="99"/>
      <c r="C90" s="100"/>
      <c r="D90" s="101"/>
      <c r="E90" s="101"/>
      <c r="F90" s="103">
        <v>141.0</v>
      </c>
      <c r="G90" s="102" t="s">
        <v>616</v>
      </c>
      <c r="H90" s="102" t="s">
        <v>614</v>
      </c>
      <c r="I90" s="102" t="s">
        <v>617</v>
      </c>
      <c r="J90" s="102" t="s">
        <v>34</v>
      </c>
      <c r="K90" s="102" t="s">
        <v>415</v>
      </c>
      <c r="L90" s="199">
        <v>1.0</v>
      </c>
      <c r="M90" s="200"/>
      <c r="N90" s="87">
        <v>157.245</v>
      </c>
      <c r="O90" s="111">
        <f t="shared" si="1"/>
        <v>157.2414426</v>
      </c>
      <c r="P90" s="104">
        <f t="shared" si="2"/>
        <v>25.2155574</v>
      </c>
      <c r="Q90" s="104">
        <f t="shared" si="3"/>
        <v>182.457</v>
      </c>
      <c r="R90" s="104">
        <f t="shared" si="4"/>
        <v>5.643</v>
      </c>
      <c r="S90" s="105">
        <f t="shared" si="5"/>
        <v>188.1</v>
      </c>
      <c r="T90" s="104">
        <f t="shared" si="6"/>
        <v>62.7</v>
      </c>
      <c r="U90" s="106">
        <v>250.8</v>
      </c>
      <c r="V90" s="106">
        <f t="shared" si="7"/>
        <v>100.32</v>
      </c>
      <c r="W90" s="107">
        <f t="shared" si="8"/>
        <v>13.673616</v>
      </c>
      <c r="X90" s="108">
        <f t="shared" si="9"/>
        <v>264.473616</v>
      </c>
      <c r="Y90" s="93">
        <f t="shared" si="10"/>
        <v>0.0035574</v>
      </c>
      <c r="Z90" s="104">
        <f t="shared" si="11"/>
        <v>0</v>
      </c>
      <c r="AA90" s="104">
        <f t="shared" si="12"/>
        <v>0</v>
      </c>
      <c r="AB90" s="104">
        <f t="shared" si="13"/>
        <v>0</v>
      </c>
      <c r="AC90" s="104">
        <f t="shared" si="14"/>
        <v>0</v>
      </c>
      <c r="AD90" s="105">
        <f t="shared" si="15"/>
        <v>0</v>
      </c>
      <c r="AE90" s="109"/>
      <c r="AF90" s="109"/>
      <c r="AG90" s="109"/>
      <c r="AH90" s="104">
        <f t="shared" si="16"/>
        <v>0</v>
      </c>
      <c r="AI90" s="104">
        <f t="shared" si="17"/>
        <v>0</v>
      </c>
      <c r="AJ90" s="95" t="str">
        <f>IF(Pedido!I100="ATENDE QTD. MÍNIMA",Pedido!H100,"")</f>
        <v/>
      </c>
      <c r="AK90" s="110">
        <f t="shared" si="18"/>
        <v>0</v>
      </c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ht="15.75" customHeight="1">
      <c r="A91" s="98" t="s">
        <v>371</v>
      </c>
      <c r="B91" s="99"/>
      <c r="C91" s="100"/>
      <c r="D91" s="100"/>
      <c r="E91" s="114"/>
      <c r="F91" s="103">
        <v>100.0</v>
      </c>
      <c r="G91" s="102" t="s">
        <v>619</v>
      </c>
      <c r="H91" s="102" t="s">
        <v>287</v>
      </c>
      <c r="I91" s="102" t="s">
        <v>286</v>
      </c>
      <c r="J91" s="102" t="s">
        <v>94</v>
      </c>
      <c r="K91" s="121" t="s">
        <v>415</v>
      </c>
      <c r="L91" s="199">
        <v>0.1</v>
      </c>
      <c r="M91" s="200"/>
      <c r="N91" s="87">
        <v>131.708412</v>
      </c>
      <c r="O91" s="113">
        <f t="shared" si="1"/>
        <v>131.7015837</v>
      </c>
      <c r="P91" s="104">
        <f t="shared" si="2"/>
        <v>21.1199337</v>
      </c>
      <c r="Q91" s="104">
        <f t="shared" si="3"/>
        <v>152.8215174</v>
      </c>
      <c r="R91" s="104">
        <f t="shared" si="4"/>
        <v>4.726438682</v>
      </c>
      <c r="S91" s="105">
        <f t="shared" si="5"/>
        <v>157.5479561</v>
      </c>
      <c r="T91" s="104">
        <f t="shared" si="6"/>
        <v>52.51598536</v>
      </c>
      <c r="U91" s="106">
        <v>210.063941439</v>
      </c>
      <c r="V91" s="106">
        <f t="shared" si="7"/>
        <v>84.02557658</v>
      </c>
      <c r="W91" s="107">
        <f t="shared" si="8"/>
        <v>11.45268609</v>
      </c>
      <c r="X91" s="108">
        <f t="shared" si="9"/>
        <v>221.5166275</v>
      </c>
      <c r="Y91" s="93">
        <f t="shared" si="10"/>
        <v>0.006828307375</v>
      </c>
      <c r="Z91" s="104">
        <f t="shared" si="11"/>
        <v>0</v>
      </c>
      <c r="AA91" s="104">
        <f t="shared" si="12"/>
        <v>0</v>
      </c>
      <c r="AB91" s="104">
        <f t="shared" si="13"/>
        <v>0</v>
      </c>
      <c r="AC91" s="104">
        <f t="shared" si="14"/>
        <v>0</v>
      </c>
      <c r="AD91" s="105">
        <f t="shared" si="15"/>
        <v>0</v>
      </c>
      <c r="AE91" s="109"/>
      <c r="AF91" s="109"/>
      <c r="AG91" s="109"/>
      <c r="AH91" s="104">
        <f t="shared" si="16"/>
        <v>0</v>
      </c>
      <c r="AI91" s="104">
        <f t="shared" si="17"/>
        <v>0</v>
      </c>
      <c r="AJ91" s="95" t="str">
        <f>IF(Pedido!I101="ATENDE QTD. MÍNIMA",Pedido!H101,"")</f>
        <v/>
      </c>
      <c r="AK91" s="110">
        <f t="shared" si="18"/>
        <v>0</v>
      </c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ht="15.75" customHeight="1">
      <c r="A92" s="98" t="s">
        <v>371</v>
      </c>
      <c r="B92" s="99"/>
      <c r="C92" s="100"/>
      <c r="D92" s="100"/>
      <c r="E92" s="102" t="s">
        <v>620</v>
      </c>
      <c r="F92" s="103">
        <v>102.0</v>
      </c>
      <c r="G92" s="102" t="s">
        <v>291</v>
      </c>
      <c r="H92" s="102" t="s">
        <v>290</v>
      </c>
      <c r="I92" s="102" t="s">
        <v>289</v>
      </c>
      <c r="J92" s="102" t="s">
        <v>34</v>
      </c>
      <c r="K92" s="121" t="s">
        <v>415</v>
      </c>
      <c r="L92" s="199">
        <v>0.1</v>
      </c>
      <c r="M92" s="200"/>
      <c r="N92" s="87">
        <v>274.392525</v>
      </c>
      <c r="O92" s="104">
        <f t="shared" si="1"/>
        <v>274.3719915</v>
      </c>
      <c r="P92" s="104">
        <f t="shared" si="2"/>
        <v>43.99885034</v>
      </c>
      <c r="Q92" s="104">
        <f t="shared" si="3"/>
        <v>318.3708418</v>
      </c>
      <c r="R92" s="104">
        <f t="shared" si="4"/>
        <v>9.846520881</v>
      </c>
      <c r="S92" s="105">
        <f t="shared" si="5"/>
        <v>328.2173627</v>
      </c>
      <c r="T92" s="104">
        <f t="shared" si="6"/>
        <v>109.4057876</v>
      </c>
      <c r="U92" s="106">
        <v>437.62315027200003</v>
      </c>
      <c r="V92" s="106">
        <f t="shared" si="7"/>
        <v>175.0492601</v>
      </c>
      <c r="W92" s="107">
        <f t="shared" si="8"/>
        <v>23.85921415</v>
      </c>
      <c r="X92" s="108">
        <f t="shared" si="9"/>
        <v>461.4823644</v>
      </c>
      <c r="Y92" s="93">
        <f t="shared" si="10"/>
        <v>0.02053351704</v>
      </c>
      <c r="Z92" s="104">
        <f t="shared" si="11"/>
        <v>0</v>
      </c>
      <c r="AA92" s="104">
        <f t="shared" si="12"/>
        <v>0</v>
      </c>
      <c r="AB92" s="104">
        <f t="shared" si="13"/>
        <v>0</v>
      </c>
      <c r="AC92" s="104">
        <f t="shared" si="14"/>
        <v>0</v>
      </c>
      <c r="AD92" s="105">
        <f t="shared" si="15"/>
        <v>0</v>
      </c>
      <c r="AE92" s="109"/>
      <c r="AF92" s="109"/>
      <c r="AG92" s="109"/>
      <c r="AH92" s="104">
        <f t="shared" si="16"/>
        <v>0</v>
      </c>
      <c r="AI92" s="104">
        <f t="shared" si="17"/>
        <v>0</v>
      </c>
      <c r="AJ92" s="95" t="str">
        <f>IF(Pedido!I102="ATENDE QTD. MÍNIMA",Pedido!H102,"")</f>
        <v/>
      </c>
      <c r="AK92" s="110">
        <f t="shared" si="18"/>
        <v>0</v>
      </c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ht="15.75" customHeight="1">
      <c r="A93" s="98" t="s">
        <v>371</v>
      </c>
      <c r="B93" s="99"/>
      <c r="C93" s="100"/>
      <c r="D93" s="100"/>
      <c r="E93" s="102" t="s">
        <v>623</v>
      </c>
      <c r="F93" s="103">
        <v>105.0</v>
      </c>
      <c r="G93" s="102" t="s">
        <v>296</v>
      </c>
      <c r="H93" s="102" t="s">
        <v>622</v>
      </c>
      <c r="I93" s="102" t="s">
        <v>45</v>
      </c>
      <c r="J93" s="102" t="s">
        <v>34</v>
      </c>
      <c r="K93" s="102" t="s">
        <v>294</v>
      </c>
      <c r="L93" s="199">
        <v>2.0</v>
      </c>
      <c r="M93" s="200"/>
      <c r="N93" s="87">
        <v>15.936717852000003</v>
      </c>
      <c r="O93" s="111">
        <f t="shared" si="1"/>
        <v>15.93731049</v>
      </c>
      <c r="P93" s="104">
        <f t="shared" si="2"/>
        <v>2.55573951</v>
      </c>
      <c r="Q93" s="104">
        <f t="shared" si="3"/>
        <v>18.49305</v>
      </c>
      <c r="R93" s="104">
        <f t="shared" si="4"/>
        <v>0.57195</v>
      </c>
      <c r="S93" s="105">
        <f t="shared" si="5"/>
        <v>19.065</v>
      </c>
      <c r="T93" s="104">
        <f t="shared" si="6"/>
        <v>6.355</v>
      </c>
      <c r="U93" s="106">
        <v>25.42</v>
      </c>
      <c r="V93" s="106">
        <f t="shared" si="7"/>
        <v>10.168</v>
      </c>
      <c r="W93" s="107">
        <f t="shared" si="8"/>
        <v>1.3858984</v>
      </c>
      <c r="X93" s="108">
        <f t="shared" si="9"/>
        <v>26.8058984</v>
      </c>
      <c r="Y93" s="93">
        <f t="shared" si="10"/>
        <v>-0.000592638</v>
      </c>
      <c r="Z93" s="104">
        <f t="shared" si="11"/>
        <v>0</v>
      </c>
      <c r="AA93" s="104">
        <f t="shared" si="12"/>
        <v>0</v>
      </c>
      <c r="AB93" s="104">
        <f t="shared" si="13"/>
        <v>0</v>
      </c>
      <c r="AC93" s="104">
        <f t="shared" si="14"/>
        <v>0</v>
      </c>
      <c r="AD93" s="105">
        <f t="shared" si="15"/>
        <v>0</v>
      </c>
      <c r="AE93" s="109"/>
      <c r="AF93" s="109"/>
      <c r="AG93" s="109"/>
      <c r="AH93" s="104">
        <f t="shared" si="16"/>
        <v>0</v>
      </c>
      <c r="AI93" s="104">
        <f t="shared" si="17"/>
        <v>0</v>
      </c>
      <c r="AJ93" s="95" t="str">
        <f>IF(Pedido!I103="ATENDE QTD. MÍNIMA",Pedido!H103,"")</f>
        <v/>
      </c>
      <c r="AK93" s="110">
        <f t="shared" si="18"/>
        <v>0</v>
      </c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ht="15.75" customHeight="1">
      <c r="A94" s="98" t="s">
        <v>371</v>
      </c>
      <c r="B94" s="99"/>
      <c r="C94" s="100"/>
      <c r="D94" s="100"/>
      <c r="E94" s="102" t="s">
        <v>626</v>
      </c>
      <c r="F94" s="103">
        <v>106.0</v>
      </c>
      <c r="G94" s="102" t="s">
        <v>298</v>
      </c>
      <c r="H94" s="102" t="s">
        <v>625</v>
      </c>
      <c r="I94" s="102" t="s">
        <v>45</v>
      </c>
      <c r="J94" s="102" t="s">
        <v>34</v>
      </c>
      <c r="K94" s="102" t="s">
        <v>294</v>
      </c>
      <c r="L94" s="199">
        <v>0.1</v>
      </c>
      <c r="M94" s="200"/>
      <c r="N94" s="87">
        <v>120.73271100000002</v>
      </c>
      <c r="O94" s="104">
        <f t="shared" si="1"/>
        <v>120.7327596</v>
      </c>
      <c r="P94" s="104">
        <f t="shared" si="2"/>
        <v>19.36095077</v>
      </c>
      <c r="Q94" s="104">
        <f t="shared" si="3"/>
        <v>140.0937104</v>
      </c>
      <c r="R94" s="104">
        <f t="shared" si="4"/>
        <v>4.332795166</v>
      </c>
      <c r="S94" s="105">
        <f t="shared" si="5"/>
        <v>144.4265055</v>
      </c>
      <c r="T94" s="104">
        <f t="shared" si="6"/>
        <v>48.14216851</v>
      </c>
      <c r="U94" s="106">
        <v>192.56867404500002</v>
      </c>
      <c r="V94" s="106">
        <f t="shared" si="7"/>
        <v>77.02746962</v>
      </c>
      <c r="W94" s="107">
        <f t="shared" si="8"/>
        <v>10.49884411</v>
      </c>
      <c r="X94" s="108">
        <f t="shared" si="9"/>
        <v>203.0675182</v>
      </c>
      <c r="Y94" s="93">
        <f t="shared" si="10"/>
        <v>-0.00004859491617</v>
      </c>
      <c r="Z94" s="104">
        <f t="shared" si="11"/>
        <v>0</v>
      </c>
      <c r="AA94" s="104">
        <f t="shared" si="12"/>
        <v>0</v>
      </c>
      <c r="AB94" s="104">
        <f t="shared" si="13"/>
        <v>0</v>
      </c>
      <c r="AC94" s="104">
        <f t="shared" si="14"/>
        <v>0</v>
      </c>
      <c r="AD94" s="105">
        <f t="shared" si="15"/>
        <v>0</v>
      </c>
      <c r="AE94" s="109"/>
      <c r="AF94" s="109"/>
      <c r="AG94" s="109"/>
      <c r="AH94" s="104">
        <f t="shared" si="16"/>
        <v>0</v>
      </c>
      <c r="AI94" s="104">
        <f t="shared" si="17"/>
        <v>0</v>
      </c>
      <c r="AJ94" s="95" t="str">
        <f>IF(Pedido!I104="ATENDE QTD. MÍNIMA",Pedido!H104,"")</f>
        <v/>
      </c>
      <c r="AK94" s="110">
        <f t="shared" si="18"/>
        <v>0</v>
      </c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ht="15.75" customHeight="1">
      <c r="A95" s="98" t="s">
        <v>371</v>
      </c>
      <c r="B95" s="99"/>
      <c r="C95" s="100"/>
      <c r="D95" s="100"/>
      <c r="E95" s="102" t="s">
        <v>629</v>
      </c>
      <c r="F95" s="103">
        <v>107.0</v>
      </c>
      <c r="G95" s="102" t="s">
        <v>300</v>
      </c>
      <c r="H95" s="102" t="s">
        <v>628</v>
      </c>
      <c r="I95" s="102" t="s">
        <v>45</v>
      </c>
      <c r="J95" s="102" t="s">
        <v>34</v>
      </c>
      <c r="K95" s="102" t="s">
        <v>209</v>
      </c>
      <c r="L95" s="199">
        <v>0.1</v>
      </c>
      <c r="M95" s="200"/>
      <c r="N95" s="87">
        <v>60.36635550000001</v>
      </c>
      <c r="O95" s="104">
        <f t="shared" si="1"/>
        <v>60.3663798</v>
      </c>
      <c r="P95" s="104">
        <f t="shared" si="2"/>
        <v>9.680475386</v>
      </c>
      <c r="Q95" s="104">
        <f t="shared" si="3"/>
        <v>70.04685518</v>
      </c>
      <c r="R95" s="104">
        <f t="shared" si="4"/>
        <v>2.166397583</v>
      </c>
      <c r="S95" s="105">
        <f t="shared" si="5"/>
        <v>72.21325277</v>
      </c>
      <c r="T95" s="104">
        <f t="shared" si="6"/>
        <v>24.07108426</v>
      </c>
      <c r="U95" s="106">
        <v>96.28433702250001</v>
      </c>
      <c r="V95" s="106">
        <f t="shared" si="7"/>
        <v>38.51373481</v>
      </c>
      <c r="W95" s="107">
        <f t="shared" si="8"/>
        <v>5.249422054</v>
      </c>
      <c r="X95" s="108">
        <f t="shared" si="9"/>
        <v>101.5337591</v>
      </c>
      <c r="Y95" s="93">
        <f t="shared" si="10"/>
        <v>-0.00002429745808</v>
      </c>
      <c r="Z95" s="104">
        <f t="shared" si="11"/>
        <v>0</v>
      </c>
      <c r="AA95" s="104">
        <f t="shared" si="12"/>
        <v>0</v>
      </c>
      <c r="AB95" s="104">
        <f t="shared" si="13"/>
        <v>0</v>
      </c>
      <c r="AC95" s="104">
        <f t="shared" si="14"/>
        <v>0</v>
      </c>
      <c r="AD95" s="105">
        <f t="shared" si="15"/>
        <v>0</v>
      </c>
      <c r="AE95" s="109"/>
      <c r="AF95" s="109"/>
      <c r="AG95" s="109"/>
      <c r="AH95" s="104">
        <f t="shared" si="16"/>
        <v>0</v>
      </c>
      <c r="AI95" s="104">
        <f t="shared" si="17"/>
        <v>0</v>
      </c>
      <c r="AJ95" s="95" t="str">
        <f>IF(Pedido!I105="ATENDE QTD. MÍNIMA",Pedido!H105,"")</f>
        <v/>
      </c>
      <c r="AK95" s="110">
        <f t="shared" si="18"/>
        <v>0</v>
      </c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ht="15.75" customHeight="1">
      <c r="A96" s="98" t="s">
        <v>371</v>
      </c>
      <c r="B96" s="99"/>
      <c r="C96" s="100"/>
      <c r="D96" s="100"/>
      <c r="E96" s="102" t="s">
        <v>632</v>
      </c>
      <c r="F96" s="103">
        <v>108.0</v>
      </c>
      <c r="G96" s="102" t="s">
        <v>302</v>
      </c>
      <c r="H96" s="102" t="s">
        <v>631</v>
      </c>
      <c r="I96" s="102" t="s">
        <v>45</v>
      </c>
      <c r="J96" s="102" t="s">
        <v>34</v>
      </c>
      <c r="K96" s="102" t="s">
        <v>209</v>
      </c>
      <c r="L96" s="199">
        <v>0.1</v>
      </c>
      <c r="M96" s="200"/>
      <c r="N96" s="87">
        <v>132.80598210000002</v>
      </c>
      <c r="O96" s="113">
        <f t="shared" si="1"/>
        <v>132.8060356</v>
      </c>
      <c r="P96" s="104">
        <f t="shared" si="2"/>
        <v>21.29704585</v>
      </c>
      <c r="Q96" s="104">
        <f t="shared" si="3"/>
        <v>154.1030814</v>
      </c>
      <c r="R96" s="104">
        <f t="shared" si="4"/>
        <v>4.766074683</v>
      </c>
      <c r="S96" s="105">
        <f t="shared" si="5"/>
        <v>158.8691561</v>
      </c>
      <c r="T96" s="104">
        <f t="shared" si="6"/>
        <v>52.95638536</v>
      </c>
      <c r="U96" s="106">
        <v>211.82554144950004</v>
      </c>
      <c r="V96" s="106">
        <f t="shared" si="7"/>
        <v>84.73021658</v>
      </c>
      <c r="W96" s="107">
        <f t="shared" si="8"/>
        <v>11.54872852</v>
      </c>
      <c r="X96" s="108">
        <f t="shared" si="9"/>
        <v>223.37427</v>
      </c>
      <c r="Y96" s="93">
        <f t="shared" si="10"/>
        <v>-0.00005345440781</v>
      </c>
      <c r="Z96" s="104">
        <f t="shared" si="11"/>
        <v>0</v>
      </c>
      <c r="AA96" s="104">
        <f t="shared" si="12"/>
        <v>0</v>
      </c>
      <c r="AB96" s="104">
        <f t="shared" si="13"/>
        <v>0</v>
      </c>
      <c r="AC96" s="104">
        <f t="shared" si="14"/>
        <v>0</v>
      </c>
      <c r="AD96" s="105">
        <f t="shared" si="15"/>
        <v>0</v>
      </c>
      <c r="AE96" s="109"/>
      <c r="AF96" s="109"/>
      <c r="AG96" s="109"/>
      <c r="AH96" s="104">
        <f t="shared" si="16"/>
        <v>0</v>
      </c>
      <c r="AI96" s="104">
        <f t="shared" si="17"/>
        <v>0</v>
      </c>
      <c r="AJ96" s="95" t="str">
        <f>IF(Pedido!I106="ATENDE QTD. MÍNIMA",Pedido!H106,"")</f>
        <v/>
      </c>
      <c r="AK96" s="110">
        <f t="shared" si="18"/>
        <v>0</v>
      </c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ht="15.75" customHeight="1">
      <c r="A97" s="98" t="s">
        <v>371</v>
      </c>
      <c r="B97" s="99"/>
      <c r="C97" s="100"/>
      <c r="D97" s="100"/>
      <c r="E97" s="102" t="s">
        <v>634</v>
      </c>
      <c r="F97" s="103">
        <v>109.0</v>
      </c>
      <c r="G97" s="102" t="s">
        <v>304</v>
      </c>
      <c r="H97" s="102" t="s">
        <v>303</v>
      </c>
      <c r="I97" s="102" t="s">
        <v>45</v>
      </c>
      <c r="J97" s="102" t="s">
        <v>34</v>
      </c>
      <c r="K97" s="102" t="s">
        <v>35</v>
      </c>
      <c r="L97" s="199">
        <v>0.1</v>
      </c>
      <c r="M97" s="200"/>
      <c r="N97" s="87">
        <v>60.36635550000001</v>
      </c>
      <c r="O97" s="113">
        <f t="shared" si="1"/>
        <v>60.3663798</v>
      </c>
      <c r="P97" s="104">
        <f t="shared" si="2"/>
        <v>9.680475386</v>
      </c>
      <c r="Q97" s="104">
        <f t="shared" si="3"/>
        <v>70.04685518</v>
      </c>
      <c r="R97" s="104">
        <f t="shared" si="4"/>
        <v>2.166397583</v>
      </c>
      <c r="S97" s="105">
        <f t="shared" si="5"/>
        <v>72.21325277</v>
      </c>
      <c r="T97" s="104">
        <f t="shared" si="6"/>
        <v>24.07108426</v>
      </c>
      <c r="U97" s="106">
        <v>96.28433702250001</v>
      </c>
      <c r="V97" s="106">
        <f t="shared" si="7"/>
        <v>38.51373481</v>
      </c>
      <c r="W97" s="107">
        <f t="shared" si="8"/>
        <v>5.249422054</v>
      </c>
      <c r="X97" s="108">
        <f t="shared" si="9"/>
        <v>101.5337591</v>
      </c>
      <c r="Y97" s="93">
        <f t="shared" si="10"/>
        <v>-0.00002429745808</v>
      </c>
      <c r="Z97" s="104">
        <f t="shared" si="11"/>
        <v>0</v>
      </c>
      <c r="AA97" s="104">
        <f t="shared" si="12"/>
        <v>0</v>
      </c>
      <c r="AB97" s="104">
        <f t="shared" si="13"/>
        <v>0</v>
      </c>
      <c r="AC97" s="104">
        <f t="shared" si="14"/>
        <v>0</v>
      </c>
      <c r="AD97" s="105">
        <f t="shared" si="15"/>
        <v>0</v>
      </c>
      <c r="AE97" s="109"/>
      <c r="AF97" s="109"/>
      <c r="AG97" s="109"/>
      <c r="AH97" s="104">
        <f t="shared" si="16"/>
        <v>0</v>
      </c>
      <c r="AI97" s="104">
        <f t="shared" si="17"/>
        <v>0</v>
      </c>
      <c r="AJ97" s="95" t="str">
        <f>IF(Pedido!I107="ATENDE QTD. MÍNIMA",Pedido!H107,"")</f>
        <v/>
      </c>
      <c r="AK97" s="110">
        <f t="shared" si="18"/>
        <v>0</v>
      </c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ht="15.75" customHeight="1">
      <c r="A98" s="98" t="s">
        <v>371</v>
      </c>
      <c r="B98" s="99"/>
      <c r="C98" s="100"/>
      <c r="D98" s="100"/>
      <c r="E98" s="102" t="s">
        <v>636</v>
      </c>
      <c r="F98" s="103">
        <v>110.0</v>
      </c>
      <c r="G98" s="102" t="s">
        <v>306</v>
      </c>
      <c r="H98" s="102" t="s">
        <v>305</v>
      </c>
      <c r="I98" s="102" t="s">
        <v>229</v>
      </c>
      <c r="J98" s="102" t="s">
        <v>34</v>
      </c>
      <c r="K98" s="102" t="s">
        <v>35</v>
      </c>
      <c r="L98" s="199">
        <v>2.0</v>
      </c>
      <c r="M98" s="200"/>
      <c r="N98" s="87">
        <v>19.920897315</v>
      </c>
      <c r="O98" s="111">
        <f t="shared" si="1"/>
        <v>19.90596413</v>
      </c>
      <c r="P98" s="104">
        <f t="shared" si="2"/>
        <v>3.192160875</v>
      </c>
      <c r="Q98" s="104">
        <f t="shared" si="3"/>
        <v>23.098125</v>
      </c>
      <c r="R98" s="104">
        <f t="shared" si="4"/>
        <v>0.714375</v>
      </c>
      <c r="S98" s="105">
        <f t="shared" si="5"/>
        <v>23.8125</v>
      </c>
      <c r="T98" s="104">
        <f t="shared" si="6"/>
        <v>7.9375</v>
      </c>
      <c r="U98" s="106">
        <v>31.75</v>
      </c>
      <c r="V98" s="106">
        <f t="shared" si="7"/>
        <v>12.7</v>
      </c>
      <c r="W98" s="107">
        <f t="shared" si="8"/>
        <v>1.73101</v>
      </c>
      <c r="X98" s="108">
        <f t="shared" si="9"/>
        <v>33.48101</v>
      </c>
      <c r="Y98" s="93">
        <f t="shared" si="10"/>
        <v>0.01493319</v>
      </c>
      <c r="Z98" s="104">
        <f t="shared" si="11"/>
        <v>0</v>
      </c>
      <c r="AA98" s="104">
        <f t="shared" si="12"/>
        <v>0</v>
      </c>
      <c r="AB98" s="104">
        <f t="shared" si="13"/>
        <v>0</v>
      </c>
      <c r="AC98" s="104">
        <f t="shared" si="14"/>
        <v>0</v>
      </c>
      <c r="AD98" s="105">
        <f t="shared" si="15"/>
        <v>0</v>
      </c>
      <c r="AE98" s="109"/>
      <c r="AF98" s="109"/>
      <c r="AG98" s="109"/>
      <c r="AH98" s="104">
        <f t="shared" si="16"/>
        <v>0</v>
      </c>
      <c r="AI98" s="104">
        <f t="shared" si="17"/>
        <v>0</v>
      </c>
      <c r="AJ98" s="95" t="str">
        <f>IF(Pedido!I108="ATENDE QTD. MÍNIMA",Pedido!H108,"")</f>
        <v/>
      </c>
      <c r="AK98" s="110">
        <f t="shared" si="18"/>
        <v>0</v>
      </c>
      <c r="AL98" s="6"/>
      <c r="AM98" s="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</row>
    <row r="99" ht="15.75" customHeight="1">
      <c r="A99" s="98" t="s">
        <v>371</v>
      </c>
      <c r="B99" s="99"/>
      <c r="C99" s="100"/>
      <c r="D99" s="101"/>
      <c r="E99" s="101"/>
      <c r="F99" s="103">
        <v>111.0</v>
      </c>
      <c r="G99" s="102" t="s">
        <v>311</v>
      </c>
      <c r="H99" s="102" t="s">
        <v>638</v>
      </c>
      <c r="I99" s="102" t="s">
        <v>135</v>
      </c>
      <c r="J99" s="102" t="s">
        <v>42</v>
      </c>
      <c r="K99" s="102" t="s">
        <v>415</v>
      </c>
      <c r="L99" s="199">
        <v>0.1</v>
      </c>
      <c r="M99" s="200"/>
      <c r="N99" s="87">
        <v>76.829907</v>
      </c>
      <c r="O99" s="104">
        <f t="shared" si="1"/>
        <v>76.8230566</v>
      </c>
      <c r="P99" s="104">
        <f t="shared" si="2"/>
        <v>12.31950153</v>
      </c>
      <c r="Q99" s="104">
        <f t="shared" si="3"/>
        <v>89.14255814</v>
      </c>
      <c r="R99" s="104">
        <f t="shared" si="4"/>
        <v>2.756986334</v>
      </c>
      <c r="S99" s="105">
        <f t="shared" si="5"/>
        <v>91.89954447</v>
      </c>
      <c r="T99" s="104">
        <f t="shared" si="6"/>
        <v>30.63318149</v>
      </c>
      <c r="U99" s="106">
        <v>122.532725964</v>
      </c>
      <c r="V99" s="106">
        <f t="shared" si="7"/>
        <v>49.01309039</v>
      </c>
      <c r="W99" s="107">
        <f t="shared" si="8"/>
        <v>6.68048422</v>
      </c>
      <c r="X99" s="108">
        <f t="shared" si="9"/>
        <v>129.2132102</v>
      </c>
      <c r="Y99" s="93">
        <f t="shared" si="10"/>
        <v>0.006850395974</v>
      </c>
      <c r="Z99" s="104">
        <f t="shared" si="11"/>
        <v>0</v>
      </c>
      <c r="AA99" s="104">
        <f t="shared" si="12"/>
        <v>0</v>
      </c>
      <c r="AB99" s="104">
        <f t="shared" si="13"/>
        <v>0</v>
      </c>
      <c r="AC99" s="104">
        <f t="shared" si="14"/>
        <v>0</v>
      </c>
      <c r="AD99" s="105">
        <f t="shared" si="15"/>
        <v>0</v>
      </c>
      <c r="AE99" s="109"/>
      <c r="AF99" s="109"/>
      <c r="AG99" s="109"/>
      <c r="AH99" s="104">
        <f t="shared" si="16"/>
        <v>0</v>
      </c>
      <c r="AI99" s="104">
        <f t="shared" si="17"/>
        <v>0</v>
      </c>
      <c r="AJ99" s="95" t="str">
        <f>IF(Pedido!I109="ATENDE QTD. MÍNIMA",Pedido!H109,"")</f>
        <v/>
      </c>
      <c r="AK99" s="110">
        <f t="shared" si="18"/>
        <v>0</v>
      </c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</row>
    <row r="100" ht="15.75" customHeight="1">
      <c r="A100" s="98" t="s">
        <v>371</v>
      </c>
      <c r="B100" s="99"/>
      <c r="C100" s="100"/>
      <c r="D100" s="101"/>
      <c r="E100" s="101"/>
      <c r="F100" s="103">
        <v>142.0</v>
      </c>
      <c r="G100" s="102" t="s">
        <v>642</v>
      </c>
      <c r="H100" s="102" t="s">
        <v>640</v>
      </c>
      <c r="I100" s="102" t="s">
        <v>643</v>
      </c>
      <c r="J100" s="102" t="s">
        <v>34</v>
      </c>
      <c r="K100" s="102" t="s">
        <v>644</v>
      </c>
      <c r="L100" s="199">
        <v>0.1</v>
      </c>
      <c r="M100" s="200"/>
      <c r="N100" s="87">
        <v>209.66</v>
      </c>
      <c r="O100" s="104">
        <f t="shared" si="1"/>
        <v>209.6600844</v>
      </c>
      <c r="P100" s="104">
        <f t="shared" si="2"/>
        <v>33.62151736</v>
      </c>
      <c r="Q100" s="104">
        <f t="shared" si="3"/>
        <v>243.2816018</v>
      </c>
      <c r="R100" s="104">
        <f t="shared" si="4"/>
        <v>7.52417325</v>
      </c>
      <c r="S100" s="105">
        <f t="shared" si="5"/>
        <v>250.805775</v>
      </c>
      <c r="T100" s="104">
        <f t="shared" si="6"/>
        <v>83.601925</v>
      </c>
      <c r="U100" s="106">
        <v>334.4077</v>
      </c>
      <c r="V100" s="106">
        <f t="shared" si="7"/>
        <v>133.76308</v>
      </c>
      <c r="W100" s="107">
        <f t="shared" si="8"/>
        <v>18.2319078</v>
      </c>
      <c r="X100" s="108">
        <f t="shared" si="9"/>
        <v>352.6396078</v>
      </c>
      <c r="Y100" s="93">
        <f t="shared" si="10"/>
        <v>-0.00008438814999</v>
      </c>
      <c r="Z100" s="104">
        <f t="shared" si="11"/>
        <v>0</v>
      </c>
      <c r="AA100" s="104">
        <f t="shared" si="12"/>
        <v>0</v>
      </c>
      <c r="AB100" s="104">
        <f t="shared" si="13"/>
        <v>0</v>
      </c>
      <c r="AC100" s="104">
        <f t="shared" si="14"/>
        <v>0</v>
      </c>
      <c r="AD100" s="105">
        <f t="shared" si="15"/>
        <v>0</v>
      </c>
      <c r="AE100" s="109"/>
      <c r="AF100" s="109"/>
      <c r="AG100" s="109"/>
      <c r="AH100" s="104">
        <f t="shared" si="16"/>
        <v>0</v>
      </c>
      <c r="AI100" s="104">
        <f t="shared" si="17"/>
        <v>0</v>
      </c>
      <c r="AJ100" s="95" t="str">
        <f>IF(Pedido!I110="ATENDE QTD. MÍNIMA",Pedido!H110,"")</f>
        <v/>
      </c>
      <c r="AK100" s="110">
        <f t="shared" si="18"/>
        <v>0</v>
      </c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</row>
    <row r="101" ht="15.75" customHeight="1">
      <c r="A101" s="128" t="s">
        <v>646</v>
      </c>
      <c r="B101" s="119" t="s">
        <v>647</v>
      </c>
      <c r="C101" s="100"/>
      <c r="D101" s="101"/>
      <c r="E101" s="101"/>
      <c r="F101" s="103">
        <v>3.0</v>
      </c>
      <c r="G101" s="102" t="s">
        <v>648</v>
      </c>
      <c r="H101" s="102" t="s">
        <v>645</v>
      </c>
      <c r="I101" s="102" t="s">
        <v>38</v>
      </c>
      <c r="J101" s="102" t="s">
        <v>34</v>
      </c>
      <c r="K101" s="121" t="s">
        <v>415</v>
      </c>
      <c r="L101" s="200"/>
      <c r="M101" s="200"/>
      <c r="N101" s="87">
        <v>164.635515</v>
      </c>
      <c r="O101" s="104">
        <f t="shared" si="1"/>
        <v>164.6286999</v>
      </c>
      <c r="P101" s="104">
        <f t="shared" si="2"/>
        <v>26.40019301</v>
      </c>
      <c r="Q101" s="104">
        <f t="shared" si="3"/>
        <v>191.028893</v>
      </c>
      <c r="R101" s="104">
        <f t="shared" si="4"/>
        <v>5.908110091</v>
      </c>
      <c r="S101" s="105">
        <f t="shared" si="5"/>
        <v>196.937003</v>
      </c>
      <c r="T101" s="104">
        <f t="shared" si="6"/>
        <v>65.64566768</v>
      </c>
      <c r="U101" s="106">
        <v>262.582670724</v>
      </c>
      <c r="V101" s="106">
        <f t="shared" si="7"/>
        <v>105.0330683</v>
      </c>
      <c r="W101" s="107">
        <f t="shared" si="8"/>
        <v>14.31600721</v>
      </c>
      <c r="X101" s="108">
        <f t="shared" si="9"/>
        <v>276.8986779</v>
      </c>
      <c r="Y101" s="93">
        <f t="shared" si="10"/>
        <v>0.006815054216</v>
      </c>
      <c r="Z101" s="104">
        <f t="shared" si="11"/>
        <v>0</v>
      </c>
      <c r="AA101" s="104">
        <f t="shared" si="12"/>
        <v>0</v>
      </c>
      <c r="AB101" s="104">
        <f t="shared" si="13"/>
        <v>0</v>
      </c>
      <c r="AC101" s="104">
        <f t="shared" si="14"/>
        <v>0</v>
      </c>
      <c r="AD101" s="105">
        <f t="shared" si="15"/>
        <v>0</v>
      </c>
      <c r="AE101" s="109"/>
      <c r="AF101" s="109"/>
      <c r="AG101" s="109"/>
      <c r="AH101" s="104">
        <f t="shared" si="16"/>
        <v>0</v>
      </c>
      <c r="AI101" s="104">
        <f t="shared" si="17"/>
        <v>0</v>
      </c>
      <c r="AJ101" s="95" t="str">
        <f>IF(Pedido!I111="ATENDE QTD. MÍNIMA",Pedido!H111,"")</f>
        <v/>
      </c>
      <c r="AK101" s="110">
        <f t="shared" si="18"/>
        <v>0</v>
      </c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</row>
    <row r="102" ht="15.75" customHeight="1">
      <c r="A102" s="129" t="s">
        <v>646</v>
      </c>
      <c r="B102" s="119" t="s">
        <v>650</v>
      </c>
      <c r="C102" s="100"/>
      <c r="D102" s="100"/>
      <c r="E102" s="100"/>
      <c r="F102" s="103">
        <v>11.0</v>
      </c>
      <c r="G102" s="102" t="s">
        <v>651</v>
      </c>
      <c r="H102" s="102" t="s">
        <v>649</v>
      </c>
      <c r="I102" s="112" t="s">
        <v>652</v>
      </c>
      <c r="J102" s="102" t="s">
        <v>42</v>
      </c>
      <c r="K102" s="121" t="s">
        <v>415</v>
      </c>
      <c r="L102" s="200"/>
      <c r="M102" s="200"/>
      <c r="N102" s="87">
        <v>219.51402000000002</v>
      </c>
      <c r="O102" s="104">
        <f t="shared" si="1"/>
        <v>219.5003457</v>
      </c>
      <c r="P102" s="104">
        <f t="shared" si="2"/>
        <v>35.19952167</v>
      </c>
      <c r="Q102" s="104">
        <f t="shared" si="3"/>
        <v>254.6998674</v>
      </c>
      <c r="R102" s="104">
        <f t="shared" si="4"/>
        <v>7.877315486</v>
      </c>
      <c r="S102" s="105">
        <f t="shared" si="5"/>
        <v>262.5771829</v>
      </c>
      <c r="T102" s="104">
        <f t="shared" si="6"/>
        <v>87.52572762</v>
      </c>
      <c r="U102" s="106">
        <v>350.102910498</v>
      </c>
      <c r="V102" s="106">
        <f t="shared" si="7"/>
        <v>140.0411642</v>
      </c>
      <c r="W102" s="107">
        <f t="shared" si="8"/>
        <v>19.08761068</v>
      </c>
      <c r="X102" s="108">
        <f t="shared" si="9"/>
        <v>369.1905212</v>
      </c>
      <c r="Y102" s="93">
        <f t="shared" si="10"/>
        <v>0.01367428563</v>
      </c>
      <c r="Z102" s="104">
        <f t="shared" si="11"/>
        <v>0</v>
      </c>
      <c r="AA102" s="104">
        <f t="shared" si="12"/>
        <v>0</v>
      </c>
      <c r="AB102" s="104">
        <f t="shared" si="13"/>
        <v>0</v>
      </c>
      <c r="AC102" s="104">
        <f t="shared" si="14"/>
        <v>0</v>
      </c>
      <c r="AD102" s="105">
        <f t="shared" si="15"/>
        <v>0</v>
      </c>
      <c r="AE102" s="109"/>
      <c r="AF102" s="109"/>
      <c r="AG102" s="109"/>
      <c r="AH102" s="104">
        <f t="shared" si="16"/>
        <v>0</v>
      </c>
      <c r="AI102" s="104">
        <f t="shared" si="17"/>
        <v>0</v>
      </c>
      <c r="AJ102" s="95" t="str">
        <f>IF(Pedido!I112="ATENDE QTD. MÍNIMA",Pedido!H112,"")</f>
        <v/>
      </c>
      <c r="AK102" s="110">
        <f t="shared" si="18"/>
        <v>0</v>
      </c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</row>
    <row r="103" ht="15.75" customHeight="1">
      <c r="A103" s="128" t="s">
        <v>646</v>
      </c>
      <c r="B103" s="119" t="s">
        <v>650</v>
      </c>
      <c r="C103" s="100"/>
      <c r="D103" s="100"/>
      <c r="E103" s="102" t="s">
        <v>654</v>
      </c>
      <c r="F103" s="103">
        <v>13.0</v>
      </c>
      <c r="G103" s="102" t="s">
        <v>65</v>
      </c>
      <c r="H103" s="102" t="s">
        <v>653</v>
      </c>
      <c r="I103" s="102" t="s">
        <v>63</v>
      </c>
      <c r="J103" s="102" t="s">
        <v>66</v>
      </c>
      <c r="K103" s="102" t="s">
        <v>376</v>
      </c>
      <c r="L103" s="200"/>
      <c r="M103" s="200"/>
      <c r="N103" s="87">
        <v>109.75701000000001</v>
      </c>
      <c r="O103" s="104">
        <f t="shared" si="1"/>
        <v>109.7501729</v>
      </c>
      <c r="P103" s="104">
        <f t="shared" si="2"/>
        <v>17.59976084</v>
      </c>
      <c r="Q103" s="104">
        <f t="shared" si="3"/>
        <v>127.3499337</v>
      </c>
      <c r="R103" s="104">
        <f t="shared" si="4"/>
        <v>3.938657743</v>
      </c>
      <c r="S103" s="105">
        <f t="shared" si="5"/>
        <v>131.2885914</v>
      </c>
      <c r="T103" s="104">
        <f t="shared" si="6"/>
        <v>43.76286381</v>
      </c>
      <c r="U103" s="106">
        <v>175.051455249</v>
      </c>
      <c r="V103" s="106">
        <f t="shared" si="7"/>
        <v>70.0205821</v>
      </c>
      <c r="W103" s="107">
        <f t="shared" si="8"/>
        <v>9.54380534</v>
      </c>
      <c r="X103" s="108">
        <f t="shared" si="9"/>
        <v>184.5952606</v>
      </c>
      <c r="Y103" s="93">
        <f t="shared" si="10"/>
        <v>0.006837142815</v>
      </c>
      <c r="Z103" s="104">
        <f t="shared" si="11"/>
        <v>0</v>
      </c>
      <c r="AA103" s="104">
        <f t="shared" si="12"/>
        <v>0</v>
      </c>
      <c r="AB103" s="104">
        <f t="shared" si="13"/>
        <v>0</v>
      </c>
      <c r="AC103" s="104">
        <f t="shared" si="14"/>
        <v>0</v>
      </c>
      <c r="AD103" s="105">
        <f t="shared" si="15"/>
        <v>0</v>
      </c>
      <c r="AE103" s="109"/>
      <c r="AF103" s="109"/>
      <c r="AG103" s="109"/>
      <c r="AH103" s="104">
        <f t="shared" si="16"/>
        <v>0</v>
      </c>
      <c r="AI103" s="104">
        <f t="shared" si="17"/>
        <v>0</v>
      </c>
      <c r="AJ103" s="95" t="str">
        <f>IF(Pedido!I113="ATENDE QTD. MÍNIMA",Pedido!H113,"")</f>
        <v/>
      </c>
      <c r="AK103" s="110">
        <f t="shared" si="18"/>
        <v>0</v>
      </c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</row>
    <row r="104" ht="15.75" customHeight="1">
      <c r="A104" s="128" t="s">
        <v>646</v>
      </c>
      <c r="B104" s="119" t="s">
        <v>657</v>
      </c>
      <c r="C104" s="100"/>
      <c r="D104" s="100"/>
      <c r="E104" s="102" t="s">
        <v>658</v>
      </c>
      <c r="F104" s="103" t="s">
        <v>660</v>
      </c>
      <c r="G104" s="102" t="s">
        <v>100</v>
      </c>
      <c r="H104" s="102" t="s">
        <v>656</v>
      </c>
      <c r="I104" s="102" t="s">
        <v>97</v>
      </c>
      <c r="J104" s="102" t="s">
        <v>94</v>
      </c>
      <c r="K104" s="102" t="s">
        <v>60</v>
      </c>
      <c r="L104" s="200"/>
      <c r="M104" s="200"/>
      <c r="N104" s="130">
        <v>39.841794629999995</v>
      </c>
      <c r="O104" s="131">
        <f t="shared" si="1"/>
        <v>39.84284286</v>
      </c>
      <c r="P104" s="131">
        <f t="shared" si="2"/>
        <v>6.38927928</v>
      </c>
      <c r="Q104" s="131">
        <f t="shared" si="3"/>
        <v>46.23212214</v>
      </c>
      <c r="R104" s="131">
        <f t="shared" si="4"/>
        <v>1.429859448</v>
      </c>
      <c r="S104" s="132">
        <f t="shared" si="5"/>
        <v>47.66198159</v>
      </c>
      <c r="T104" s="131">
        <f t="shared" si="6"/>
        <v>15.8873272</v>
      </c>
      <c r="U104" s="127">
        <v>63.54930879</v>
      </c>
      <c r="V104" s="127">
        <f t="shared" si="7"/>
        <v>25.41972352</v>
      </c>
      <c r="W104" s="133">
        <f t="shared" si="8"/>
        <v>3.464708315</v>
      </c>
      <c r="X104" s="134">
        <f t="shared" si="9"/>
        <v>67.01401711</v>
      </c>
      <c r="Y104" s="93">
        <f t="shared" si="10"/>
        <v>-0.001048234324</v>
      </c>
      <c r="Z104" s="131">
        <f t="shared" si="11"/>
        <v>0</v>
      </c>
      <c r="AA104" s="131">
        <f t="shared" si="12"/>
        <v>0</v>
      </c>
      <c r="AB104" s="131">
        <f t="shared" si="13"/>
        <v>0</v>
      </c>
      <c r="AC104" s="131">
        <f t="shared" si="14"/>
        <v>0</v>
      </c>
      <c r="AD104" s="132">
        <f t="shared" si="15"/>
        <v>0</v>
      </c>
      <c r="AE104" s="135"/>
      <c r="AF104" s="135"/>
      <c r="AG104" s="135"/>
      <c r="AH104" s="131">
        <f t="shared" si="16"/>
        <v>0</v>
      </c>
      <c r="AI104" s="131">
        <f t="shared" si="17"/>
        <v>0</v>
      </c>
      <c r="AJ104" s="95" t="str">
        <f>IF(Pedido!I114="ATENDE QTD. MÍNIMA",Pedido!H114,"")</f>
        <v/>
      </c>
      <c r="AK104" s="136">
        <f t="shared" si="18"/>
        <v>0</v>
      </c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</row>
    <row r="105" ht="15.75" customHeight="1">
      <c r="A105" s="128" t="s">
        <v>646</v>
      </c>
      <c r="B105" s="119" t="s">
        <v>657</v>
      </c>
      <c r="C105" s="100"/>
      <c r="D105" s="100"/>
      <c r="E105" s="102" t="s">
        <v>662</v>
      </c>
      <c r="F105" s="103" t="s">
        <v>664</v>
      </c>
      <c r="G105" s="102" t="s">
        <v>106</v>
      </c>
      <c r="H105" s="102" t="s">
        <v>661</v>
      </c>
      <c r="I105" s="102" t="s">
        <v>97</v>
      </c>
      <c r="J105" s="102" t="s">
        <v>94</v>
      </c>
      <c r="K105" s="102" t="s">
        <v>73</v>
      </c>
      <c r="L105" s="200"/>
      <c r="M105" s="200"/>
      <c r="N105" s="87">
        <v>48.2930844</v>
      </c>
      <c r="O105" s="113">
        <f t="shared" si="1"/>
        <v>48.29310384</v>
      </c>
      <c r="P105" s="104">
        <f t="shared" si="2"/>
        <v>7.744380309</v>
      </c>
      <c r="Q105" s="104">
        <f t="shared" si="3"/>
        <v>56.03748415</v>
      </c>
      <c r="R105" s="104">
        <f t="shared" si="4"/>
        <v>1.733118066</v>
      </c>
      <c r="S105" s="105">
        <f t="shared" si="5"/>
        <v>57.77060221</v>
      </c>
      <c r="T105" s="104">
        <f t="shared" si="6"/>
        <v>19.2568674</v>
      </c>
      <c r="U105" s="106">
        <v>77.02746961800001</v>
      </c>
      <c r="V105" s="106">
        <f t="shared" si="7"/>
        <v>30.81098785</v>
      </c>
      <c r="W105" s="107">
        <f t="shared" si="8"/>
        <v>4.199537644</v>
      </c>
      <c r="X105" s="108">
        <f t="shared" si="9"/>
        <v>81.22700726</v>
      </c>
      <c r="Y105" s="93">
        <f t="shared" si="10"/>
        <v>-0.00001943796649</v>
      </c>
      <c r="Z105" s="104">
        <f t="shared" si="11"/>
        <v>0</v>
      </c>
      <c r="AA105" s="104">
        <f t="shared" si="12"/>
        <v>0</v>
      </c>
      <c r="AB105" s="104">
        <f t="shared" si="13"/>
        <v>0</v>
      </c>
      <c r="AC105" s="104">
        <f t="shared" si="14"/>
        <v>0</v>
      </c>
      <c r="AD105" s="105">
        <f t="shared" si="15"/>
        <v>0</v>
      </c>
      <c r="AE105" s="109"/>
      <c r="AF105" s="109"/>
      <c r="AG105" s="109"/>
      <c r="AH105" s="104">
        <f t="shared" si="16"/>
        <v>0</v>
      </c>
      <c r="AI105" s="104">
        <f t="shared" si="17"/>
        <v>0</v>
      </c>
      <c r="AJ105" s="95" t="str">
        <f>IF(Pedido!I115="ATENDE QTD. MÍNIMA",Pedido!H115,"")</f>
        <v/>
      </c>
      <c r="AK105" s="110">
        <f t="shared" si="18"/>
        <v>0</v>
      </c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</row>
    <row r="106" ht="15.75" customHeight="1">
      <c r="A106" s="129" t="s">
        <v>646</v>
      </c>
      <c r="B106" s="119" t="s">
        <v>650</v>
      </c>
      <c r="C106" s="100"/>
      <c r="D106" s="100"/>
      <c r="E106" s="102" t="s">
        <v>665</v>
      </c>
      <c r="F106" s="103">
        <v>45.0</v>
      </c>
      <c r="G106" s="102" t="s">
        <v>148</v>
      </c>
      <c r="H106" s="102" t="s">
        <v>147</v>
      </c>
      <c r="I106" s="102" t="s">
        <v>76</v>
      </c>
      <c r="J106" s="102" t="s">
        <v>42</v>
      </c>
      <c r="K106" s="102" t="s">
        <v>146</v>
      </c>
      <c r="L106" s="200"/>
      <c r="M106" s="200"/>
      <c r="N106" s="87">
        <v>265.61196420000005</v>
      </c>
      <c r="O106" s="104">
        <f t="shared" si="1"/>
        <v>265.6120711</v>
      </c>
      <c r="P106" s="104">
        <f t="shared" si="2"/>
        <v>42.5940917</v>
      </c>
      <c r="Q106" s="104">
        <f t="shared" si="3"/>
        <v>308.2061628</v>
      </c>
      <c r="R106" s="104">
        <f t="shared" si="4"/>
        <v>9.532149365</v>
      </c>
      <c r="S106" s="105">
        <f t="shared" si="5"/>
        <v>317.7383122</v>
      </c>
      <c r="T106" s="104">
        <f t="shared" si="6"/>
        <v>105.9127707</v>
      </c>
      <c r="U106" s="106">
        <v>423.6510828990001</v>
      </c>
      <c r="V106" s="106">
        <f t="shared" si="7"/>
        <v>169.4604332</v>
      </c>
      <c r="W106" s="107">
        <f t="shared" si="8"/>
        <v>23.09745704</v>
      </c>
      <c r="X106" s="108">
        <f t="shared" si="9"/>
        <v>446.7485399</v>
      </c>
      <c r="Y106" s="93">
        <f t="shared" si="10"/>
        <v>-0.0001069088156</v>
      </c>
      <c r="Z106" s="104">
        <f t="shared" si="11"/>
        <v>0</v>
      </c>
      <c r="AA106" s="104">
        <f t="shared" si="12"/>
        <v>0</v>
      </c>
      <c r="AB106" s="104">
        <f t="shared" si="13"/>
        <v>0</v>
      </c>
      <c r="AC106" s="104">
        <f t="shared" si="14"/>
        <v>0</v>
      </c>
      <c r="AD106" s="105">
        <f t="shared" si="15"/>
        <v>0</v>
      </c>
      <c r="AE106" s="109"/>
      <c r="AF106" s="109"/>
      <c r="AG106" s="109"/>
      <c r="AH106" s="104">
        <f t="shared" si="16"/>
        <v>0</v>
      </c>
      <c r="AI106" s="104">
        <f t="shared" si="17"/>
        <v>0</v>
      </c>
      <c r="AJ106" s="95" t="str">
        <f>IF(Pedido!I116="ATENDE QTD. MÍNIMA",Pedido!H116,"")</f>
        <v/>
      </c>
      <c r="AK106" s="110">
        <f t="shared" si="18"/>
        <v>0</v>
      </c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</row>
    <row r="107" ht="15.75" customHeight="1">
      <c r="A107" s="128" t="s">
        <v>646</v>
      </c>
      <c r="B107" s="119" t="s">
        <v>431</v>
      </c>
      <c r="C107" s="100"/>
      <c r="D107" s="100"/>
      <c r="E107" s="114"/>
      <c r="F107" s="103">
        <v>120.0</v>
      </c>
      <c r="G107" s="124" t="s">
        <v>163</v>
      </c>
      <c r="H107" s="102" t="s">
        <v>667</v>
      </c>
      <c r="I107" s="117" t="s">
        <v>415</v>
      </c>
      <c r="J107" s="102" t="s">
        <v>165</v>
      </c>
      <c r="K107" s="124" t="s">
        <v>415</v>
      </c>
      <c r="L107" s="200"/>
      <c r="M107" s="200"/>
      <c r="N107" s="87">
        <v>164.635515</v>
      </c>
      <c r="O107" s="104">
        <f t="shared" si="1"/>
        <v>164.6286999</v>
      </c>
      <c r="P107" s="104">
        <f t="shared" si="2"/>
        <v>26.40019301</v>
      </c>
      <c r="Q107" s="104">
        <f t="shared" si="3"/>
        <v>191.028893</v>
      </c>
      <c r="R107" s="104">
        <f t="shared" si="4"/>
        <v>5.908110091</v>
      </c>
      <c r="S107" s="105">
        <f t="shared" si="5"/>
        <v>196.937003</v>
      </c>
      <c r="T107" s="104">
        <f t="shared" si="6"/>
        <v>65.64566768</v>
      </c>
      <c r="U107" s="106">
        <v>262.582670724</v>
      </c>
      <c r="V107" s="106">
        <f t="shared" si="7"/>
        <v>105.0330683</v>
      </c>
      <c r="W107" s="107">
        <f t="shared" si="8"/>
        <v>14.31600721</v>
      </c>
      <c r="X107" s="108">
        <f t="shared" si="9"/>
        <v>276.8986779</v>
      </c>
      <c r="Y107" s="93">
        <f t="shared" si="10"/>
        <v>0.006815054216</v>
      </c>
      <c r="Z107" s="104">
        <f t="shared" si="11"/>
        <v>0</v>
      </c>
      <c r="AA107" s="104">
        <f t="shared" si="12"/>
        <v>0</v>
      </c>
      <c r="AB107" s="104">
        <f t="shared" si="13"/>
        <v>0</v>
      </c>
      <c r="AC107" s="104">
        <f t="shared" si="14"/>
        <v>0</v>
      </c>
      <c r="AD107" s="105">
        <f t="shared" si="15"/>
        <v>0</v>
      </c>
      <c r="AE107" s="109"/>
      <c r="AF107" s="109"/>
      <c r="AG107" s="109"/>
      <c r="AH107" s="104">
        <f t="shared" si="16"/>
        <v>0</v>
      </c>
      <c r="AI107" s="104">
        <f t="shared" si="17"/>
        <v>0</v>
      </c>
      <c r="AJ107" s="95" t="str">
        <f>IF(Pedido!I117="ATENDE QTD. MÍNIMA",Pedido!H117,"")</f>
        <v/>
      </c>
      <c r="AK107" s="110">
        <f t="shared" si="18"/>
        <v>0</v>
      </c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</row>
    <row r="108" ht="15.75" customHeight="1">
      <c r="A108" s="129" t="s">
        <v>646</v>
      </c>
      <c r="B108" s="119" t="s">
        <v>431</v>
      </c>
      <c r="C108" s="100"/>
      <c r="D108" s="114"/>
      <c r="E108" s="114"/>
      <c r="F108" s="103">
        <v>121.0</v>
      </c>
      <c r="G108" s="123" t="s">
        <v>670</v>
      </c>
      <c r="H108" s="102" t="s">
        <v>668</v>
      </c>
      <c r="I108" s="102" t="s">
        <v>164</v>
      </c>
      <c r="J108" s="102" t="s">
        <v>165</v>
      </c>
      <c r="K108" s="123" t="s">
        <v>415</v>
      </c>
      <c r="L108" s="200"/>
      <c r="M108" s="200"/>
      <c r="N108" s="87">
        <v>164.635515</v>
      </c>
      <c r="O108" s="113">
        <f t="shared" si="1"/>
        <v>164.6286999</v>
      </c>
      <c r="P108" s="104">
        <f t="shared" si="2"/>
        <v>26.40019301</v>
      </c>
      <c r="Q108" s="104">
        <f t="shared" si="3"/>
        <v>191.028893</v>
      </c>
      <c r="R108" s="104">
        <f t="shared" si="4"/>
        <v>5.908110091</v>
      </c>
      <c r="S108" s="105">
        <f t="shared" si="5"/>
        <v>196.937003</v>
      </c>
      <c r="T108" s="104">
        <f t="shared" si="6"/>
        <v>65.64566768</v>
      </c>
      <c r="U108" s="106">
        <v>262.582670724</v>
      </c>
      <c r="V108" s="106">
        <f t="shared" si="7"/>
        <v>105.0330683</v>
      </c>
      <c r="W108" s="107">
        <f t="shared" si="8"/>
        <v>14.31600721</v>
      </c>
      <c r="X108" s="108">
        <f t="shared" si="9"/>
        <v>276.8986779</v>
      </c>
      <c r="Y108" s="93">
        <f t="shared" si="10"/>
        <v>0.006815054216</v>
      </c>
      <c r="Z108" s="104">
        <f t="shared" si="11"/>
        <v>0</v>
      </c>
      <c r="AA108" s="104">
        <f t="shared" si="12"/>
        <v>0</v>
      </c>
      <c r="AB108" s="104">
        <f t="shared" si="13"/>
        <v>0</v>
      </c>
      <c r="AC108" s="104">
        <f t="shared" si="14"/>
        <v>0</v>
      </c>
      <c r="AD108" s="105">
        <f t="shared" si="15"/>
        <v>0</v>
      </c>
      <c r="AE108" s="109"/>
      <c r="AF108" s="109"/>
      <c r="AG108" s="109"/>
      <c r="AH108" s="104">
        <f t="shared" si="16"/>
        <v>0</v>
      </c>
      <c r="AI108" s="104">
        <f t="shared" si="17"/>
        <v>0</v>
      </c>
      <c r="AJ108" s="95" t="str">
        <f>IF(Pedido!I118="ATENDE QTD. MÍNIMA",Pedido!H118,"")</f>
        <v/>
      </c>
      <c r="AK108" s="110">
        <f t="shared" si="18"/>
        <v>0</v>
      </c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</row>
    <row r="109" ht="15.75" customHeight="1">
      <c r="A109" s="128" t="s">
        <v>646</v>
      </c>
      <c r="B109" s="119" t="s">
        <v>647</v>
      </c>
      <c r="C109" s="100"/>
      <c r="D109" s="101"/>
      <c r="E109" s="101"/>
      <c r="F109" s="103">
        <v>134.0</v>
      </c>
      <c r="G109" s="117" t="s">
        <v>415</v>
      </c>
      <c r="H109" s="112" t="s">
        <v>324</v>
      </c>
      <c r="I109" s="117" t="s">
        <v>415</v>
      </c>
      <c r="J109" s="117" t="s">
        <v>415</v>
      </c>
      <c r="K109" s="117" t="s">
        <v>415</v>
      </c>
      <c r="L109" s="200"/>
      <c r="M109" s="200"/>
      <c r="N109" s="87">
        <v>54.878505000000004</v>
      </c>
      <c r="O109" s="113">
        <f t="shared" si="1"/>
        <v>54.87852709</v>
      </c>
      <c r="P109" s="104">
        <f t="shared" si="2"/>
        <v>8.800432169</v>
      </c>
      <c r="Q109" s="104">
        <f t="shared" si="3"/>
        <v>63.67895926</v>
      </c>
      <c r="R109" s="104">
        <f t="shared" si="4"/>
        <v>1.969452348</v>
      </c>
      <c r="S109" s="105">
        <f t="shared" si="5"/>
        <v>65.64841161</v>
      </c>
      <c r="T109" s="104">
        <f t="shared" si="6"/>
        <v>21.88280387</v>
      </c>
      <c r="U109" s="106">
        <v>87.531215475</v>
      </c>
      <c r="V109" s="106">
        <f t="shared" si="7"/>
        <v>35.01248619</v>
      </c>
      <c r="W109" s="107">
        <f t="shared" si="8"/>
        <v>4.772201868</v>
      </c>
      <c r="X109" s="108">
        <f t="shared" si="9"/>
        <v>92.30341734</v>
      </c>
      <c r="Y109" s="93">
        <f t="shared" si="10"/>
        <v>-0.00002208859825</v>
      </c>
      <c r="Z109" s="104">
        <f t="shared" si="11"/>
        <v>0</v>
      </c>
      <c r="AA109" s="104">
        <f t="shared" si="12"/>
        <v>0</v>
      </c>
      <c r="AB109" s="104">
        <f t="shared" si="13"/>
        <v>0</v>
      </c>
      <c r="AC109" s="104">
        <f t="shared" si="14"/>
        <v>0</v>
      </c>
      <c r="AD109" s="105">
        <f t="shared" si="15"/>
        <v>0</v>
      </c>
      <c r="AE109" s="109"/>
      <c r="AF109" s="109"/>
      <c r="AG109" s="109"/>
      <c r="AH109" s="104">
        <f t="shared" si="16"/>
        <v>0</v>
      </c>
      <c r="AI109" s="104">
        <f t="shared" si="17"/>
        <v>0</v>
      </c>
      <c r="AJ109" s="95" t="str">
        <f>IF(Pedido!I119="ATENDE QTD. MÍNIMA",Pedido!H119,"")</f>
        <v/>
      </c>
      <c r="AK109" s="110">
        <f t="shared" si="18"/>
        <v>0</v>
      </c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</row>
    <row r="110" ht="15.75" customHeight="1">
      <c r="A110" s="129" t="s">
        <v>646</v>
      </c>
      <c r="B110" s="119" t="s">
        <v>647</v>
      </c>
      <c r="C110" s="100"/>
      <c r="D110" s="101"/>
      <c r="E110" s="101"/>
      <c r="F110" s="103">
        <v>136.0</v>
      </c>
      <c r="G110" s="117" t="s">
        <v>415</v>
      </c>
      <c r="H110" s="112" t="s">
        <v>673</v>
      </c>
      <c r="I110" s="117" t="s">
        <v>415</v>
      </c>
      <c r="J110" s="117" t="s">
        <v>415</v>
      </c>
      <c r="K110" s="117" t="s">
        <v>415</v>
      </c>
      <c r="L110" s="200"/>
      <c r="M110" s="200"/>
      <c r="N110" s="87">
        <v>0.0</v>
      </c>
      <c r="O110" s="113">
        <f t="shared" si="1"/>
        <v>0</v>
      </c>
      <c r="P110" s="104">
        <f t="shared" si="2"/>
        <v>0</v>
      </c>
      <c r="Q110" s="104">
        <f t="shared" si="3"/>
        <v>0</v>
      </c>
      <c r="R110" s="104">
        <f t="shared" si="4"/>
        <v>0</v>
      </c>
      <c r="S110" s="105">
        <f t="shared" si="5"/>
        <v>0</v>
      </c>
      <c r="T110" s="104">
        <f t="shared" si="6"/>
        <v>0</v>
      </c>
      <c r="U110" s="106">
        <v>0.0</v>
      </c>
      <c r="V110" s="106">
        <f t="shared" si="7"/>
        <v>0</v>
      </c>
      <c r="W110" s="107">
        <f t="shared" si="8"/>
        <v>0</v>
      </c>
      <c r="X110" s="108">
        <f t="shared" si="9"/>
        <v>0</v>
      </c>
      <c r="Y110" s="93">
        <f t="shared" si="10"/>
        <v>0</v>
      </c>
      <c r="Z110" s="104">
        <f t="shared" si="11"/>
        <v>0</v>
      </c>
      <c r="AA110" s="104">
        <f t="shared" si="12"/>
        <v>0</v>
      </c>
      <c r="AB110" s="104">
        <f t="shared" si="13"/>
        <v>0</v>
      </c>
      <c r="AC110" s="104">
        <f t="shared" si="14"/>
        <v>0</v>
      </c>
      <c r="AD110" s="105">
        <f t="shared" si="15"/>
        <v>0</v>
      </c>
      <c r="AE110" s="109"/>
      <c r="AF110" s="109"/>
      <c r="AG110" s="109"/>
      <c r="AH110" s="104">
        <f t="shared" si="16"/>
        <v>0</v>
      </c>
      <c r="AI110" s="104">
        <f t="shared" si="17"/>
        <v>0</v>
      </c>
      <c r="AJ110" s="95" t="str">
        <f>IF(Pedido!I120="ATENDE QTD. MÍNIMA",Pedido!H120,"")</f>
        <v/>
      </c>
      <c r="AK110" s="110">
        <f t="shared" si="18"/>
        <v>0</v>
      </c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</row>
    <row r="111" ht="15.75" customHeight="1">
      <c r="A111" s="128" t="s">
        <v>646</v>
      </c>
      <c r="B111" s="119" t="s">
        <v>650</v>
      </c>
      <c r="C111" s="100"/>
      <c r="D111" s="100"/>
      <c r="E111" s="100"/>
      <c r="F111" s="103">
        <v>63.0</v>
      </c>
      <c r="G111" s="137" t="s">
        <v>202</v>
      </c>
      <c r="H111" s="102" t="s">
        <v>675</v>
      </c>
      <c r="I111" s="102" t="s">
        <v>76</v>
      </c>
      <c r="J111" s="112" t="s">
        <v>34</v>
      </c>
      <c r="K111" s="121" t="s">
        <v>415</v>
      </c>
      <c r="L111" s="200"/>
      <c r="M111" s="200"/>
      <c r="N111" s="87">
        <v>146.08658031000002</v>
      </c>
      <c r="O111" s="111">
        <f t="shared" si="1"/>
        <v>146.0878331</v>
      </c>
      <c r="P111" s="104">
        <f t="shared" si="2"/>
        <v>23.42694191</v>
      </c>
      <c r="Q111" s="104">
        <f t="shared" si="3"/>
        <v>169.514775</v>
      </c>
      <c r="R111" s="104">
        <f t="shared" si="4"/>
        <v>5.242725</v>
      </c>
      <c r="S111" s="105">
        <f t="shared" si="5"/>
        <v>174.7575</v>
      </c>
      <c r="T111" s="104">
        <f t="shared" si="6"/>
        <v>58.2525</v>
      </c>
      <c r="U111" s="106">
        <v>233.01</v>
      </c>
      <c r="V111" s="106">
        <f t="shared" si="7"/>
        <v>93.204</v>
      </c>
      <c r="W111" s="107">
        <f t="shared" si="8"/>
        <v>12.7037052</v>
      </c>
      <c r="X111" s="108">
        <f t="shared" si="9"/>
        <v>245.7137052</v>
      </c>
      <c r="Y111" s="93">
        <f t="shared" si="10"/>
        <v>-0.001252785</v>
      </c>
      <c r="Z111" s="104">
        <f t="shared" si="11"/>
        <v>0</v>
      </c>
      <c r="AA111" s="104">
        <f t="shared" si="12"/>
        <v>0</v>
      </c>
      <c r="AB111" s="104">
        <f t="shared" si="13"/>
        <v>0</v>
      </c>
      <c r="AC111" s="104">
        <f t="shared" si="14"/>
        <v>0</v>
      </c>
      <c r="AD111" s="105">
        <f t="shared" si="15"/>
        <v>0</v>
      </c>
      <c r="AE111" s="109"/>
      <c r="AF111" s="109"/>
      <c r="AG111" s="109"/>
      <c r="AH111" s="104">
        <f t="shared" si="16"/>
        <v>0</v>
      </c>
      <c r="AI111" s="104">
        <f t="shared" si="17"/>
        <v>0</v>
      </c>
      <c r="AJ111" s="95" t="str">
        <f>IF(Pedido!I121="ATENDE QTD. MÍNIMA",Pedido!H121,"")</f>
        <v/>
      </c>
      <c r="AK111" s="110">
        <f t="shared" si="18"/>
        <v>0</v>
      </c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</row>
    <row r="112" ht="15.75" customHeight="1">
      <c r="A112" s="128" t="s">
        <v>646</v>
      </c>
      <c r="B112" s="119" t="s">
        <v>647</v>
      </c>
      <c r="C112" s="100"/>
      <c r="D112" s="116" t="s">
        <v>372</v>
      </c>
      <c r="E112" s="102" t="s">
        <v>677</v>
      </c>
      <c r="F112" s="103">
        <v>70.0</v>
      </c>
      <c r="G112" s="102" t="s">
        <v>219</v>
      </c>
      <c r="H112" s="102" t="s">
        <v>218</v>
      </c>
      <c r="I112" s="102" t="s">
        <v>217</v>
      </c>
      <c r="J112" s="102" t="s">
        <v>34</v>
      </c>
      <c r="K112" s="121" t="s">
        <v>415</v>
      </c>
      <c r="L112" s="200"/>
      <c r="M112" s="200"/>
      <c r="N112" s="87">
        <v>87.805608</v>
      </c>
      <c r="O112" s="104">
        <f t="shared" si="1"/>
        <v>87.79876202</v>
      </c>
      <c r="P112" s="104">
        <f t="shared" si="2"/>
        <v>14.07958797</v>
      </c>
      <c r="Q112" s="104">
        <f t="shared" si="3"/>
        <v>101.87835</v>
      </c>
      <c r="R112" s="104">
        <f t="shared" si="4"/>
        <v>3.150876804</v>
      </c>
      <c r="S112" s="105">
        <f t="shared" si="5"/>
        <v>105.0292268</v>
      </c>
      <c r="T112" s="104">
        <f t="shared" si="6"/>
        <v>35.00974226</v>
      </c>
      <c r="U112" s="106">
        <v>140.038969059</v>
      </c>
      <c r="V112" s="106">
        <f t="shared" si="7"/>
        <v>56.01558762</v>
      </c>
      <c r="W112" s="107">
        <f t="shared" si="8"/>
        <v>7.634924593</v>
      </c>
      <c r="X112" s="108">
        <f t="shared" si="9"/>
        <v>147.6738937</v>
      </c>
      <c r="Y112" s="93">
        <f t="shared" si="10"/>
        <v>0.006845978254</v>
      </c>
      <c r="Z112" s="104">
        <f t="shared" si="11"/>
        <v>0</v>
      </c>
      <c r="AA112" s="104">
        <f t="shared" si="12"/>
        <v>0</v>
      </c>
      <c r="AB112" s="104">
        <f t="shared" si="13"/>
        <v>0</v>
      </c>
      <c r="AC112" s="104">
        <f t="shared" si="14"/>
        <v>0</v>
      </c>
      <c r="AD112" s="105">
        <f t="shared" si="15"/>
        <v>0</v>
      </c>
      <c r="AE112" s="109"/>
      <c r="AF112" s="109"/>
      <c r="AG112" s="109"/>
      <c r="AH112" s="104">
        <f t="shared" si="16"/>
        <v>0</v>
      </c>
      <c r="AI112" s="104">
        <f t="shared" si="17"/>
        <v>0</v>
      </c>
      <c r="AJ112" s="95" t="str">
        <f>IF(Pedido!I122="ATENDE QTD. MÍNIMA",Pedido!H122,"")</f>
        <v/>
      </c>
      <c r="AK112" s="110">
        <f t="shared" si="18"/>
        <v>0</v>
      </c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</row>
    <row r="113" ht="15.75" customHeight="1">
      <c r="A113" s="128" t="s">
        <v>646</v>
      </c>
      <c r="B113" s="119" t="s">
        <v>650</v>
      </c>
      <c r="C113" s="100"/>
      <c r="D113" s="100"/>
      <c r="E113" s="114"/>
      <c r="F113" s="103">
        <v>71.0</v>
      </c>
      <c r="G113" s="102" t="s">
        <v>320</v>
      </c>
      <c r="H113" s="102" t="s">
        <v>319</v>
      </c>
      <c r="I113" s="102" t="s">
        <v>317</v>
      </c>
      <c r="J113" s="102" t="s">
        <v>42</v>
      </c>
      <c r="K113" s="117" t="s">
        <v>415</v>
      </c>
      <c r="L113" s="200"/>
      <c r="M113" s="200"/>
      <c r="N113" s="87">
        <v>76.829907</v>
      </c>
      <c r="O113" s="104">
        <f t="shared" si="1"/>
        <v>76.82497575</v>
      </c>
      <c r="P113" s="104">
        <f t="shared" si="2"/>
        <v>12.31980929</v>
      </c>
      <c r="Q113" s="104">
        <f t="shared" si="3"/>
        <v>89.14478504</v>
      </c>
      <c r="R113" s="104">
        <f t="shared" si="4"/>
        <v>2.757055208</v>
      </c>
      <c r="S113" s="105">
        <f t="shared" si="5"/>
        <v>91.90184025</v>
      </c>
      <c r="T113" s="104">
        <f t="shared" si="6"/>
        <v>30.63394675</v>
      </c>
      <c r="U113" s="106">
        <v>122.535787</v>
      </c>
      <c r="V113" s="106">
        <f t="shared" si="7"/>
        <v>49.0143148</v>
      </c>
      <c r="W113" s="107">
        <f t="shared" si="8"/>
        <v>6.680651107</v>
      </c>
      <c r="X113" s="108">
        <f t="shared" si="9"/>
        <v>129.2164381</v>
      </c>
      <c r="Y113" s="93">
        <f t="shared" si="10"/>
        <v>0.004931250374</v>
      </c>
      <c r="Z113" s="104">
        <f t="shared" si="11"/>
        <v>0</v>
      </c>
      <c r="AA113" s="104">
        <f t="shared" si="12"/>
        <v>0</v>
      </c>
      <c r="AB113" s="104">
        <f t="shared" si="13"/>
        <v>0</v>
      </c>
      <c r="AC113" s="104">
        <f t="shared" si="14"/>
        <v>0</v>
      </c>
      <c r="AD113" s="105">
        <f t="shared" si="15"/>
        <v>0</v>
      </c>
      <c r="AE113" s="109"/>
      <c r="AF113" s="109"/>
      <c r="AG113" s="109"/>
      <c r="AH113" s="104">
        <f t="shared" si="16"/>
        <v>0</v>
      </c>
      <c r="AI113" s="104">
        <f t="shared" si="17"/>
        <v>0</v>
      </c>
      <c r="AJ113" s="95" t="str">
        <f>IF(Pedido!I123="ATENDE QTD. MÍNIMA",Pedido!H123,"")</f>
        <v/>
      </c>
      <c r="AK113" s="110">
        <f t="shared" si="18"/>
        <v>0</v>
      </c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</row>
    <row r="114" ht="15.75" customHeight="1">
      <c r="A114" s="129" t="s">
        <v>646</v>
      </c>
      <c r="B114" s="119" t="s">
        <v>650</v>
      </c>
      <c r="C114" s="100"/>
      <c r="D114" s="100"/>
      <c r="E114" s="100"/>
      <c r="F114" s="103">
        <v>114.0</v>
      </c>
      <c r="G114" s="123" t="s">
        <v>239</v>
      </c>
      <c r="H114" s="102" t="s">
        <v>680</v>
      </c>
      <c r="I114" s="102" t="s">
        <v>41</v>
      </c>
      <c r="J114" s="102" t="s">
        <v>94</v>
      </c>
      <c r="K114" s="123" t="s">
        <v>415</v>
      </c>
      <c r="L114" s="200"/>
      <c r="M114" s="200"/>
      <c r="N114" s="87">
        <v>132.80598210000002</v>
      </c>
      <c r="O114" s="104">
        <f t="shared" si="1"/>
        <v>132.8060356</v>
      </c>
      <c r="P114" s="104">
        <f t="shared" si="2"/>
        <v>21.29704585</v>
      </c>
      <c r="Q114" s="104">
        <f t="shared" si="3"/>
        <v>154.1030814</v>
      </c>
      <c r="R114" s="104">
        <f t="shared" si="4"/>
        <v>4.766074683</v>
      </c>
      <c r="S114" s="105">
        <f t="shared" si="5"/>
        <v>158.8691561</v>
      </c>
      <c r="T114" s="104">
        <f t="shared" si="6"/>
        <v>52.95638536</v>
      </c>
      <c r="U114" s="106">
        <v>211.82554144950004</v>
      </c>
      <c r="V114" s="106">
        <f t="shared" si="7"/>
        <v>84.73021658</v>
      </c>
      <c r="W114" s="107">
        <f t="shared" si="8"/>
        <v>11.54872852</v>
      </c>
      <c r="X114" s="108">
        <f t="shared" si="9"/>
        <v>223.37427</v>
      </c>
      <c r="Y114" s="93">
        <f t="shared" si="10"/>
        <v>-0.00005345440781</v>
      </c>
      <c r="Z114" s="104">
        <f t="shared" si="11"/>
        <v>0</v>
      </c>
      <c r="AA114" s="104">
        <f t="shared" si="12"/>
        <v>0</v>
      </c>
      <c r="AB114" s="104">
        <f t="shared" si="13"/>
        <v>0</v>
      </c>
      <c r="AC114" s="104">
        <f t="shared" si="14"/>
        <v>0</v>
      </c>
      <c r="AD114" s="105">
        <f t="shared" si="15"/>
        <v>0</v>
      </c>
      <c r="AE114" s="109"/>
      <c r="AF114" s="109"/>
      <c r="AG114" s="109"/>
      <c r="AH114" s="104">
        <f t="shared" si="16"/>
        <v>0</v>
      </c>
      <c r="AI114" s="104">
        <f t="shared" si="17"/>
        <v>0</v>
      </c>
      <c r="AJ114" s="95" t="str">
        <f>IF(Pedido!I124="ATENDE QTD. MÍNIMA",Pedido!H124,"")</f>
        <v/>
      </c>
      <c r="AK114" s="110">
        <f t="shared" si="18"/>
        <v>0</v>
      </c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</row>
    <row r="115" ht="15.75" customHeight="1">
      <c r="A115" s="128" t="s">
        <v>646</v>
      </c>
      <c r="B115" s="119" t="s">
        <v>650</v>
      </c>
      <c r="C115" s="100"/>
      <c r="D115" s="100"/>
      <c r="E115" s="100"/>
      <c r="F115" s="103">
        <v>115.0</v>
      </c>
      <c r="G115" s="124" t="s">
        <v>239</v>
      </c>
      <c r="H115" s="102" t="s">
        <v>240</v>
      </c>
      <c r="I115" s="102" t="s">
        <v>41</v>
      </c>
      <c r="J115" s="102" t="s">
        <v>94</v>
      </c>
      <c r="K115" s="123" t="s">
        <v>415</v>
      </c>
      <c r="L115" s="200"/>
      <c r="M115" s="200"/>
      <c r="N115" s="87">
        <v>132.80598210000002</v>
      </c>
      <c r="O115" s="104">
        <f t="shared" si="1"/>
        <v>132.8060356</v>
      </c>
      <c r="P115" s="104">
        <f t="shared" si="2"/>
        <v>21.29704585</v>
      </c>
      <c r="Q115" s="104">
        <f t="shared" si="3"/>
        <v>154.1030814</v>
      </c>
      <c r="R115" s="104">
        <f t="shared" si="4"/>
        <v>4.766074683</v>
      </c>
      <c r="S115" s="105">
        <f t="shared" si="5"/>
        <v>158.8691561</v>
      </c>
      <c r="T115" s="104">
        <f t="shared" si="6"/>
        <v>52.95638536</v>
      </c>
      <c r="U115" s="127">
        <v>211.82554144950004</v>
      </c>
      <c r="V115" s="106">
        <f t="shared" si="7"/>
        <v>84.73021658</v>
      </c>
      <c r="W115" s="107">
        <f t="shared" si="8"/>
        <v>11.54872852</v>
      </c>
      <c r="X115" s="108">
        <f t="shared" si="9"/>
        <v>223.37427</v>
      </c>
      <c r="Y115" s="93">
        <f t="shared" si="10"/>
        <v>-0.00005345440781</v>
      </c>
      <c r="Z115" s="104">
        <f t="shared" si="11"/>
        <v>0</v>
      </c>
      <c r="AA115" s="104">
        <f t="shared" si="12"/>
        <v>0</v>
      </c>
      <c r="AB115" s="104">
        <f t="shared" si="13"/>
        <v>0</v>
      </c>
      <c r="AC115" s="104">
        <f t="shared" si="14"/>
        <v>0</v>
      </c>
      <c r="AD115" s="105">
        <f t="shared" si="15"/>
        <v>0</v>
      </c>
      <c r="AE115" s="109"/>
      <c r="AF115" s="109"/>
      <c r="AG115" s="109"/>
      <c r="AH115" s="104">
        <f t="shared" si="16"/>
        <v>0</v>
      </c>
      <c r="AI115" s="104">
        <f t="shared" si="17"/>
        <v>0</v>
      </c>
      <c r="AJ115" s="95" t="str">
        <f>IF(Pedido!I125="ATENDE QTD. MÍNIMA",Pedido!H125,"")</f>
        <v/>
      </c>
      <c r="AK115" s="110">
        <f t="shared" si="18"/>
        <v>0</v>
      </c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</row>
    <row r="116" ht="15.75" customHeight="1">
      <c r="A116" s="128" t="s">
        <v>646</v>
      </c>
      <c r="B116" s="119" t="s">
        <v>650</v>
      </c>
      <c r="C116" s="100"/>
      <c r="D116" s="101"/>
      <c r="E116" s="101"/>
      <c r="F116" s="103">
        <v>138.0</v>
      </c>
      <c r="G116" s="117" t="s">
        <v>415</v>
      </c>
      <c r="H116" s="112" t="s">
        <v>683</v>
      </c>
      <c r="I116" s="117" t="s">
        <v>415</v>
      </c>
      <c r="J116" s="117" t="s">
        <v>415</v>
      </c>
      <c r="K116" s="117" t="s">
        <v>415</v>
      </c>
      <c r="L116" s="200"/>
      <c r="M116" s="200"/>
      <c r="N116" s="87">
        <v>199.20897315000002</v>
      </c>
      <c r="O116" s="111">
        <f t="shared" si="1"/>
        <v>199.2101115</v>
      </c>
      <c r="P116" s="104">
        <f t="shared" si="2"/>
        <v>31.94573847</v>
      </c>
      <c r="Q116" s="104">
        <f t="shared" si="3"/>
        <v>231.15585</v>
      </c>
      <c r="R116" s="104">
        <f t="shared" si="4"/>
        <v>7.14915</v>
      </c>
      <c r="S116" s="105">
        <f t="shared" si="5"/>
        <v>238.305</v>
      </c>
      <c r="T116" s="104">
        <f t="shared" si="6"/>
        <v>79.435</v>
      </c>
      <c r="U116" s="106">
        <v>317.74</v>
      </c>
      <c r="V116" s="106">
        <f t="shared" si="7"/>
        <v>127.096</v>
      </c>
      <c r="W116" s="107">
        <f t="shared" si="8"/>
        <v>17.3231848</v>
      </c>
      <c r="X116" s="108">
        <f t="shared" si="9"/>
        <v>335.0631848</v>
      </c>
      <c r="Y116" s="93">
        <f t="shared" si="10"/>
        <v>-0.00113838</v>
      </c>
      <c r="Z116" s="104">
        <f t="shared" si="11"/>
        <v>0</v>
      </c>
      <c r="AA116" s="104">
        <f t="shared" si="12"/>
        <v>0</v>
      </c>
      <c r="AB116" s="104">
        <f t="shared" si="13"/>
        <v>0</v>
      </c>
      <c r="AC116" s="104">
        <f t="shared" si="14"/>
        <v>0</v>
      </c>
      <c r="AD116" s="105">
        <f t="shared" si="15"/>
        <v>0</v>
      </c>
      <c r="AE116" s="109"/>
      <c r="AF116" s="109"/>
      <c r="AG116" s="109"/>
      <c r="AH116" s="104">
        <f t="shared" si="16"/>
        <v>0</v>
      </c>
      <c r="AI116" s="104">
        <f t="shared" si="17"/>
        <v>0</v>
      </c>
      <c r="AJ116" s="95" t="str">
        <f>IF(Pedido!I126="ATENDE QTD. MÍNIMA",Pedido!H126,"")</f>
        <v/>
      </c>
      <c r="AK116" s="110">
        <f t="shared" si="18"/>
        <v>0</v>
      </c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</row>
    <row r="117" ht="15.75" customHeight="1">
      <c r="A117" s="129" t="s">
        <v>646</v>
      </c>
      <c r="B117" s="119" t="s">
        <v>650</v>
      </c>
      <c r="C117" s="100"/>
      <c r="D117" s="100"/>
      <c r="E117" s="100"/>
      <c r="F117" s="103">
        <v>84.0</v>
      </c>
      <c r="G117" s="102" t="s">
        <v>333</v>
      </c>
      <c r="H117" s="102" t="s">
        <v>685</v>
      </c>
      <c r="I117" s="102" t="s">
        <v>45</v>
      </c>
      <c r="J117" s="102" t="s">
        <v>66</v>
      </c>
      <c r="K117" s="102" t="s">
        <v>118</v>
      </c>
      <c r="L117" s="200"/>
      <c r="M117" s="200"/>
      <c r="N117" s="87">
        <v>332.01495524999996</v>
      </c>
      <c r="O117" s="111">
        <f t="shared" si="1"/>
        <v>332.0064032</v>
      </c>
      <c r="P117" s="104">
        <f t="shared" si="2"/>
        <v>53.24122178</v>
      </c>
      <c r="Q117" s="104">
        <f t="shared" si="3"/>
        <v>385.247625</v>
      </c>
      <c r="R117" s="104">
        <f t="shared" si="4"/>
        <v>11.914875</v>
      </c>
      <c r="S117" s="105">
        <f t="shared" si="5"/>
        <v>397.1625</v>
      </c>
      <c r="T117" s="104">
        <f t="shared" si="6"/>
        <v>132.3875</v>
      </c>
      <c r="U117" s="106">
        <v>529.55</v>
      </c>
      <c r="V117" s="106">
        <f t="shared" si="7"/>
        <v>211.82</v>
      </c>
      <c r="W117" s="107">
        <f t="shared" si="8"/>
        <v>28.871066</v>
      </c>
      <c r="X117" s="108">
        <f t="shared" si="9"/>
        <v>558.421066</v>
      </c>
      <c r="Y117" s="93">
        <f t="shared" si="10"/>
        <v>0.008552025</v>
      </c>
      <c r="Z117" s="104">
        <f t="shared" si="11"/>
        <v>0</v>
      </c>
      <c r="AA117" s="104">
        <f t="shared" si="12"/>
        <v>0</v>
      </c>
      <c r="AB117" s="104">
        <f t="shared" si="13"/>
        <v>0</v>
      </c>
      <c r="AC117" s="104">
        <f t="shared" si="14"/>
        <v>0</v>
      </c>
      <c r="AD117" s="105">
        <f t="shared" si="15"/>
        <v>0</v>
      </c>
      <c r="AE117" s="109"/>
      <c r="AF117" s="109"/>
      <c r="AG117" s="109"/>
      <c r="AH117" s="104">
        <f t="shared" si="16"/>
        <v>0</v>
      </c>
      <c r="AI117" s="104">
        <f t="shared" si="17"/>
        <v>0</v>
      </c>
      <c r="AJ117" s="95" t="str">
        <f>IF(Pedido!I127="ATENDE QTD. MÍNIMA",Pedido!H127,"")</f>
        <v/>
      </c>
      <c r="AK117" s="110">
        <f t="shared" si="18"/>
        <v>0</v>
      </c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</row>
    <row r="118" ht="15.75" customHeight="1">
      <c r="A118" s="129" t="s">
        <v>646</v>
      </c>
      <c r="B118" s="119" t="s">
        <v>431</v>
      </c>
      <c r="C118" s="100"/>
      <c r="D118" s="100"/>
      <c r="E118" s="100"/>
      <c r="F118" s="103">
        <v>86.0</v>
      </c>
      <c r="G118" s="124" t="s">
        <v>687</v>
      </c>
      <c r="H118" s="102" t="s">
        <v>686</v>
      </c>
      <c r="I118" s="102" t="s">
        <v>259</v>
      </c>
      <c r="J118" s="102" t="s">
        <v>42</v>
      </c>
      <c r="K118" s="121" t="s">
        <v>415</v>
      </c>
      <c r="L118" s="200"/>
      <c r="M118" s="200"/>
      <c r="N118" s="87">
        <v>65.854206</v>
      </c>
      <c r="O118" s="113">
        <f t="shared" si="1"/>
        <v>65.84735119</v>
      </c>
      <c r="P118" s="104">
        <f t="shared" si="2"/>
        <v>10.5594151</v>
      </c>
      <c r="Q118" s="104">
        <f t="shared" si="3"/>
        <v>76.40676629</v>
      </c>
      <c r="R118" s="104">
        <f t="shared" si="4"/>
        <v>2.363095865</v>
      </c>
      <c r="S118" s="105">
        <f t="shared" si="5"/>
        <v>78.76986215</v>
      </c>
      <c r="T118" s="104">
        <f t="shared" si="6"/>
        <v>26.25662072</v>
      </c>
      <c r="U118" s="106">
        <v>105.02648286899999</v>
      </c>
      <c r="V118" s="106">
        <f t="shared" si="7"/>
        <v>42.01059315</v>
      </c>
      <c r="W118" s="107">
        <f t="shared" si="8"/>
        <v>5.726043846</v>
      </c>
      <c r="X118" s="108">
        <f t="shared" si="9"/>
        <v>110.7525267</v>
      </c>
      <c r="Y118" s="93">
        <f t="shared" si="10"/>
        <v>0.006854813693</v>
      </c>
      <c r="Z118" s="104">
        <f t="shared" si="11"/>
        <v>0</v>
      </c>
      <c r="AA118" s="104">
        <f t="shared" si="12"/>
        <v>0</v>
      </c>
      <c r="AB118" s="104">
        <f t="shared" si="13"/>
        <v>0</v>
      </c>
      <c r="AC118" s="104">
        <f t="shared" si="14"/>
        <v>0</v>
      </c>
      <c r="AD118" s="105">
        <f t="shared" si="15"/>
        <v>0</v>
      </c>
      <c r="AE118" s="109"/>
      <c r="AF118" s="109"/>
      <c r="AG118" s="109"/>
      <c r="AH118" s="104">
        <f t="shared" si="16"/>
        <v>0</v>
      </c>
      <c r="AI118" s="104">
        <f t="shared" si="17"/>
        <v>0</v>
      </c>
      <c r="AJ118" s="95" t="str">
        <f>IF(Pedido!I128="ATENDE QTD. MÍNIMA",Pedido!H128,"")</f>
        <v/>
      </c>
      <c r="AK118" s="110">
        <f t="shared" si="18"/>
        <v>0</v>
      </c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</row>
    <row r="119" ht="15.75" customHeight="1">
      <c r="A119" s="129" t="s">
        <v>646</v>
      </c>
      <c r="B119" s="119" t="s">
        <v>647</v>
      </c>
      <c r="C119" s="100"/>
      <c r="D119" s="100"/>
      <c r="E119" s="100"/>
      <c r="F119" s="103">
        <v>88.0</v>
      </c>
      <c r="G119" s="116" t="s">
        <v>689</v>
      </c>
      <c r="H119" s="102" t="s">
        <v>334</v>
      </c>
      <c r="I119" s="102" t="s">
        <v>336</v>
      </c>
      <c r="J119" s="112" t="s">
        <v>34</v>
      </c>
      <c r="K119" s="121" t="s">
        <v>415</v>
      </c>
      <c r="L119" s="200"/>
      <c r="M119" s="200"/>
      <c r="N119" s="87">
        <v>164.635515</v>
      </c>
      <c r="O119" s="104">
        <f t="shared" si="1"/>
        <v>164.6286999</v>
      </c>
      <c r="P119" s="104">
        <f t="shared" si="2"/>
        <v>26.40019301</v>
      </c>
      <c r="Q119" s="104">
        <f t="shared" si="3"/>
        <v>191.028893</v>
      </c>
      <c r="R119" s="104">
        <f t="shared" si="4"/>
        <v>5.908110091</v>
      </c>
      <c r="S119" s="105">
        <f t="shared" si="5"/>
        <v>196.937003</v>
      </c>
      <c r="T119" s="104">
        <f t="shared" si="6"/>
        <v>65.64566768</v>
      </c>
      <c r="U119" s="106">
        <v>262.582670724</v>
      </c>
      <c r="V119" s="106">
        <f t="shared" si="7"/>
        <v>105.0330683</v>
      </c>
      <c r="W119" s="107">
        <f t="shared" si="8"/>
        <v>14.31600721</v>
      </c>
      <c r="X119" s="108">
        <f t="shared" si="9"/>
        <v>276.8986779</v>
      </c>
      <c r="Y119" s="93">
        <f t="shared" si="10"/>
        <v>0.006815054216</v>
      </c>
      <c r="Z119" s="104">
        <f t="shared" si="11"/>
        <v>0</v>
      </c>
      <c r="AA119" s="104">
        <f t="shared" si="12"/>
        <v>0</v>
      </c>
      <c r="AB119" s="104">
        <f t="shared" si="13"/>
        <v>0</v>
      </c>
      <c r="AC119" s="104">
        <f t="shared" si="14"/>
        <v>0</v>
      </c>
      <c r="AD119" s="105">
        <f t="shared" si="15"/>
        <v>0</v>
      </c>
      <c r="AE119" s="109"/>
      <c r="AF119" s="109"/>
      <c r="AG119" s="109"/>
      <c r="AH119" s="104">
        <f t="shared" si="16"/>
        <v>0</v>
      </c>
      <c r="AI119" s="104">
        <f t="shared" si="17"/>
        <v>0</v>
      </c>
      <c r="AJ119" s="95" t="str">
        <f>IF(Pedido!I129="ATENDE QTD. MÍNIMA",Pedido!H129,"")</f>
        <v/>
      </c>
      <c r="AK119" s="110">
        <f t="shared" si="18"/>
        <v>0</v>
      </c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</row>
    <row r="120" ht="15.75" customHeight="1">
      <c r="A120" s="129" t="s">
        <v>646</v>
      </c>
      <c r="B120" s="119" t="s">
        <v>647</v>
      </c>
      <c r="C120" s="100"/>
      <c r="D120" s="100"/>
      <c r="E120" s="100"/>
      <c r="F120" s="103">
        <v>123.0</v>
      </c>
      <c r="G120" s="123" t="s">
        <v>338</v>
      </c>
      <c r="H120" s="102" t="s">
        <v>337</v>
      </c>
      <c r="I120" s="102" t="s">
        <v>338</v>
      </c>
      <c r="J120" s="102" t="s">
        <v>34</v>
      </c>
      <c r="K120" s="123" t="s">
        <v>415</v>
      </c>
      <c r="L120" s="200"/>
      <c r="M120" s="200"/>
      <c r="N120" s="87">
        <v>164.635515</v>
      </c>
      <c r="O120" s="113">
        <f t="shared" si="1"/>
        <v>164.6286999</v>
      </c>
      <c r="P120" s="104">
        <f t="shared" si="2"/>
        <v>26.40019301</v>
      </c>
      <c r="Q120" s="104">
        <f t="shared" si="3"/>
        <v>191.028893</v>
      </c>
      <c r="R120" s="104">
        <f t="shared" si="4"/>
        <v>5.908110091</v>
      </c>
      <c r="S120" s="105">
        <f t="shared" si="5"/>
        <v>196.937003</v>
      </c>
      <c r="T120" s="104">
        <f t="shared" si="6"/>
        <v>65.64566768</v>
      </c>
      <c r="U120" s="106">
        <v>262.582670724</v>
      </c>
      <c r="V120" s="106">
        <f t="shared" si="7"/>
        <v>105.0330683</v>
      </c>
      <c r="W120" s="107">
        <f t="shared" si="8"/>
        <v>14.31600721</v>
      </c>
      <c r="X120" s="108">
        <f t="shared" si="9"/>
        <v>276.8986779</v>
      </c>
      <c r="Y120" s="93">
        <f t="shared" si="10"/>
        <v>0.006815054216</v>
      </c>
      <c r="Z120" s="104">
        <f t="shared" si="11"/>
        <v>0</v>
      </c>
      <c r="AA120" s="104">
        <f t="shared" si="12"/>
        <v>0</v>
      </c>
      <c r="AB120" s="104">
        <f t="shared" si="13"/>
        <v>0</v>
      </c>
      <c r="AC120" s="104">
        <f t="shared" si="14"/>
        <v>0</v>
      </c>
      <c r="AD120" s="105">
        <f t="shared" si="15"/>
        <v>0</v>
      </c>
      <c r="AE120" s="109"/>
      <c r="AF120" s="109"/>
      <c r="AG120" s="109"/>
      <c r="AH120" s="104">
        <f t="shared" si="16"/>
        <v>0</v>
      </c>
      <c r="AI120" s="104">
        <f t="shared" si="17"/>
        <v>0</v>
      </c>
      <c r="AJ120" s="95" t="str">
        <f>IF(Pedido!I130="ATENDE QTD. MÍNIMA",Pedido!H130,"")</f>
        <v/>
      </c>
      <c r="AK120" s="110">
        <f t="shared" si="18"/>
        <v>0</v>
      </c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</row>
    <row r="121" ht="15.75" customHeight="1">
      <c r="A121" s="129" t="s">
        <v>646</v>
      </c>
      <c r="B121" s="119" t="s">
        <v>650</v>
      </c>
      <c r="C121" s="100"/>
      <c r="D121" s="100"/>
      <c r="E121" s="100"/>
      <c r="F121" s="103">
        <v>90.0</v>
      </c>
      <c r="G121" s="102" t="s">
        <v>266</v>
      </c>
      <c r="H121" s="102" t="s">
        <v>265</v>
      </c>
      <c r="I121" s="102" t="s">
        <v>33</v>
      </c>
      <c r="J121" s="112" t="s">
        <v>34</v>
      </c>
      <c r="K121" s="121" t="s">
        <v>415</v>
      </c>
      <c r="L121" s="200"/>
      <c r="M121" s="200"/>
      <c r="N121" s="87">
        <v>109.75701000000001</v>
      </c>
      <c r="O121" s="113">
        <f t="shared" si="1"/>
        <v>109.7501729</v>
      </c>
      <c r="P121" s="104">
        <f t="shared" si="2"/>
        <v>17.59976084</v>
      </c>
      <c r="Q121" s="104">
        <f t="shared" si="3"/>
        <v>127.3499337</v>
      </c>
      <c r="R121" s="104">
        <f t="shared" si="4"/>
        <v>3.938657743</v>
      </c>
      <c r="S121" s="105">
        <f t="shared" si="5"/>
        <v>131.2885914</v>
      </c>
      <c r="T121" s="104">
        <f t="shared" si="6"/>
        <v>43.76286381</v>
      </c>
      <c r="U121" s="106">
        <v>175.051455249</v>
      </c>
      <c r="V121" s="106">
        <f t="shared" si="7"/>
        <v>70.0205821</v>
      </c>
      <c r="W121" s="107">
        <f t="shared" si="8"/>
        <v>9.54380534</v>
      </c>
      <c r="X121" s="108">
        <f t="shared" si="9"/>
        <v>184.5952606</v>
      </c>
      <c r="Y121" s="93">
        <f t="shared" si="10"/>
        <v>0.006837142815</v>
      </c>
      <c r="Z121" s="104">
        <f t="shared" si="11"/>
        <v>0</v>
      </c>
      <c r="AA121" s="104">
        <f t="shared" si="12"/>
        <v>0</v>
      </c>
      <c r="AB121" s="104">
        <f t="shared" si="13"/>
        <v>0</v>
      </c>
      <c r="AC121" s="104">
        <f t="shared" si="14"/>
        <v>0</v>
      </c>
      <c r="AD121" s="105">
        <f t="shared" si="15"/>
        <v>0</v>
      </c>
      <c r="AE121" s="109"/>
      <c r="AF121" s="109"/>
      <c r="AG121" s="109"/>
      <c r="AH121" s="104">
        <f t="shared" si="16"/>
        <v>0</v>
      </c>
      <c r="AI121" s="104">
        <f t="shared" si="17"/>
        <v>0</v>
      </c>
      <c r="AJ121" s="95" t="str">
        <f>IF(Pedido!I131="ATENDE QTD. MÍNIMA",Pedido!H131,"")</f>
        <v/>
      </c>
      <c r="AK121" s="110">
        <f t="shared" si="18"/>
        <v>0</v>
      </c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</row>
    <row r="122" ht="15.75" customHeight="1">
      <c r="A122" s="128" t="s">
        <v>646</v>
      </c>
      <c r="B122" s="119" t="s">
        <v>647</v>
      </c>
      <c r="C122" s="100"/>
      <c r="D122" s="114"/>
      <c r="E122" s="114"/>
      <c r="F122" s="103">
        <v>99.0</v>
      </c>
      <c r="G122" s="102" t="s">
        <v>691</v>
      </c>
      <c r="H122" s="102" t="s">
        <v>328</v>
      </c>
      <c r="I122" s="102" t="s">
        <v>235</v>
      </c>
      <c r="J122" s="102" t="s">
        <v>692</v>
      </c>
      <c r="K122" s="121" t="s">
        <v>415</v>
      </c>
      <c r="L122" s="200"/>
      <c r="M122" s="200"/>
      <c r="N122" s="87">
        <v>164.635515</v>
      </c>
      <c r="O122" s="104">
        <f t="shared" si="1"/>
        <v>164.6286999</v>
      </c>
      <c r="P122" s="104">
        <f t="shared" si="2"/>
        <v>26.40019301</v>
      </c>
      <c r="Q122" s="104">
        <f t="shared" si="3"/>
        <v>191.028893</v>
      </c>
      <c r="R122" s="104">
        <f t="shared" si="4"/>
        <v>5.908110091</v>
      </c>
      <c r="S122" s="105">
        <f t="shared" si="5"/>
        <v>196.937003</v>
      </c>
      <c r="T122" s="104">
        <f t="shared" si="6"/>
        <v>65.64566768</v>
      </c>
      <c r="U122" s="106">
        <v>262.582670724</v>
      </c>
      <c r="V122" s="106">
        <f t="shared" si="7"/>
        <v>105.0330683</v>
      </c>
      <c r="W122" s="107">
        <f t="shared" si="8"/>
        <v>14.31600721</v>
      </c>
      <c r="X122" s="108">
        <f t="shared" si="9"/>
        <v>276.8986779</v>
      </c>
      <c r="Y122" s="93">
        <f t="shared" si="10"/>
        <v>0.006815054216</v>
      </c>
      <c r="Z122" s="104">
        <f t="shared" si="11"/>
        <v>0</v>
      </c>
      <c r="AA122" s="104">
        <f t="shared" si="12"/>
        <v>0</v>
      </c>
      <c r="AB122" s="104">
        <f t="shared" si="13"/>
        <v>0</v>
      </c>
      <c r="AC122" s="104">
        <f t="shared" si="14"/>
        <v>0</v>
      </c>
      <c r="AD122" s="105">
        <f t="shared" si="15"/>
        <v>0</v>
      </c>
      <c r="AE122" s="109"/>
      <c r="AF122" s="109"/>
      <c r="AG122" s="109"/>
      <c r="AH122" s="104">
        <f t="shared" si="16"/>
        <v>0</v>
      </c>
      <c r="AI122" s="104">
        <f t="shared" si="17"/>
        <v>0</v>
      </c>
      <c r="AJ122" s="95" t="str">
        <f>IF(Pedido!I132="ATENDE QTD. MÍNIMA",Pedido!H132,"")</f>
        <v/>
      </c>
      <c r="AK122" s="110">
        <f t="shared" si="18"/>
        <v>0</v>
      </c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</row>
    <row r="123" ht="15.75" customHeight="1">
      <c r="A123" s="129" t="s">
        <v>646</v>
      </c>
      <c r="B123" s="119" t="s">
        <v>650</v>
      </c>
      <c r="C123" s="100"/>
      <c r="D123" s="114"/>
      <c r="E123" s="114"/>
      <c r="F123" s="103">
        <v>101.0</v>
      </c>
      <c r="G123" s="102" t="s">
        <v>330</v>
      </c>
      <c r="H123" s="102" t="s">
        <v>329</v>
      </c>
      <c r="I123" s="102" t="s">
        <v>331</v>
      </c>
      <c r="J123" s="102" t="s">
        <v>66</v>
      </c>
      <c r="K123" s="121" t="s">
        <v>415</v>
      </c>
      <c r="L123" s="200"/>
      <c r="M123" s="200"/>
      <c r="N123" s="87">
        <v>164.635515</v>
      </c>
      <c r="O123" s="113">
        <f t="shared" si="1"/>
        <v>164.6286999</v>
      </c>
      <c r="P123" s="104">
        <f t="shared" si="2"/>
        <v>26.40019301</v>
      </c>
      <c r="Q123" s="104">
        <f t="shared" si="3"/>
        <v>191.028893</v>
      </c>
      <c r="R123" s="104">
        <f t="shared" si="4"/>
        <v>5.908110091</v>
      </c>
      <c r="S123" s="105">
        <f t="shared" si="5"/>
        <v>196.937003</v>
      </c>
      <c r="T123" s="104">
        <f t="shared" si="6"/>
        <v>65.64566768</v>
      </c>
      <c r="U123" s="106">
        <v>262.582670724</v>
      </c>
      <c r="V123" s="106">
        <f t="shared" si="7"/>
        <v>105.0330683</v>
      </c>
      <c r="W123" s="107">
        <f t="shared" si="8"/>
        <v>14.31600721</v>
      </c>
      <c r="X123" s="108">
        <f t="shared" si="9"/>
        <v>276.8986779</v>
      </c>
      <c r="Y123" s="93">
        <f t="shared" si="10"/>
        <v>0.006815054216</v>
      </c>
      <c r="Z123" s="104">
        <f t="shared" si="11"/>
        <v>0</v>
      </c>
      <c r="AA123" s="104">
        <f t="shared" si="12"/>
        <v>0</v>
      </c>
      <c r="AB123" s="104">
        <f t="shared" si="13"/>
        <v>0</v>
      </c>
      <c r="AC123" s="104">
        <f t="shared" si="14"/>
        <v>0</v>
      </c>
      <c r="AD123" s="105">
        <f t="shared" si="15"/>
        <v>0</v>
      </c>
      <c r="AE123" s="109"/>
      <c r="AF123" s="109"/>
      <c r="AG123" s="109"/>
      <c r="AH123" s="104">
        <f t="shared" si="16"/>
        <v>0</v>
      </c>
      <c r="AI123" s="104">
        <f t="shared" si="17"/>
        <v>0</v>
      </c>
      <c r="AJ123" s="95" t="str">
        <f>IF(Pedido!I133="ATENDE QTD. MÍNIMA",Pedido!H133,"")</f>
        <v/>
      </c>
      <c r="AK123" s="110">
        <f t="shared" si="18"/>
        <v>0</v>
      </c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</row>
    <row r="124" ht="15.75" customHeight="1">
      <c r="A124" s="138" t="s">
        <v>695</v>
      </c>
      <c r="B124" s="119" t="s">
        <v>431</v>
      </c>
      <c r="C124" s="100"/>
      <c r="D124" s="100"/>
      <c r="E124" s="114"/>
      <c r="F124" s="103">
        <v>125.0</v>
      </c>
      <c r="G124" s="102" t="s">
        <v>44</v>
      </c>
      <c r="H124" s="102" t="s">
        <v>694</v>
      </c>
      <c r="I124" s="102" t="s">
        <v>45</v>
      </c>
      <c r="J124" s="102" t="s">
        <v>66</v>
      </c>
      <c r="K124" s="123" t="s">
        <v>415</v>
      </c>
      <c r="L124" s="200"/>
      <c r="M124" s="200"/>
      <c r="N124" s="87">
        <v>87.805608</v>
      </c>
      <c r="O124" s="104">
        <f t="shared" si="1"/>
        <v>87.79876202</v>
      </c>
      <c r="P124" s="104">
        <f t="shared" si="2"/>
        <v>14.07958797</v>
      </c>
      <c r="Q124" s="104">
        <f t="shared" si="3"/>
        <v>101.87835</v>
      </c>
      <c r="R124" s="104">
        <f t="shared" si="4"/>
        <v>3.150876804</v>
      </c>
      <c r="S124" s="105">
        <f t="shared" si="5"/>
        <v>105.0292268</v>
      </c>
      <c r="T124" s="104">
        <f t="shared" si="6"/>
        <v>35.00974226</v>
      </c>
      <c r="U124" s="106">
        <v>140.038969059</v>
      </c>
      <c r="V124" s="106">
        <f t="shared" si="7"/>
        <v>56.01558762</v>
      </c>
      <c r="W124" s="107">
        <f t="shared" si="8"/>
        <v>7.634924593</v>
      </c>
      <c r="X124" s="108">
        <f t="shared" si="9"/>
        <v>147.6738937</v>
      </c>
      <c r="Y124" s="93">
        <f t="shared" si="10"/>
        <v>0.006845978254</v>
      </c>
      <c r="Z124" s="104">
        <f t="shared" si="11"/>
        <v>0</v>
      </c>
      <c r="AA124" s="104">
        <f t="shared" si="12"/>
        <v>0</v>
      </c>
      <c r="AB124" s="104">
        <f t="shared" si="13"/>
        <v>0</v>
      </c>
      <c r="AC124" s="104">
        <f t="shared" si="14"/>
        <v>0</v>
      </c>
      <c r="AD124" s="105">
        <f t="shared" si="15"/>
        <v>0</v>
      </c>
      <c r="AE124" s="109"/>
      <c r="AF124" s="109"/>
      <c r="AG124" s="109"/>
      <c r="AH124" s="104">
        <f t="shared" si="16"/>
        <v>0</v>
      </c>
      <c r="AI124" s="104">
        <f t="shared" si="17"/>
        <v>0</v>
      </c>
      <c r="AJ124" s="95" t="str">
        <f>IF(Pedido!I134="ATENDE QTD. MÍNIMA",Pedido!H134,"")</f>
        <v/>
      </c>
      <c r="AK124" s="110">
        <f t="shared" si="18"/>
        <v>0</v>
      </c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ht="15.75" customHeight="1">
      <c r="A125" s="138" t="s">
        <v>695</v>
      </c>
      <c r="B125" s="119" t="s">
        <v>431</v>
      </c>
      <c r="C125" s="100"/>
      <c r="D125" s="101"/>
      <c r="E125" s="101"/>
      <c r="F125" s="103">
        <v>128.0</v>
      </c>
      <c r="G125" s="117" t="s">
        <v>415</v>
      </c>
      <c r="H125" s="102" t="s">
        <v>697</v>
      </c>
      <c r="I125" s="117" t="s">
        <v>415</v>
      </c>
      <c r="J125" s="117" t="s">
        <v>94</v>
      </c>
      <c r="K125" s="121" t="s">
        <v>415</v>
      </c>
      <c r="L125" s="200"/>
      <c r="M125" s="200"/>
      <c r="N125" s="87">
        <v>164.635515</v>
      </c>
      <c r="O125" s="111">
        <f t="shared" si="1"/>
        <v>164.6270255</v>
      </c>
      <c r="P125" s="104">
        <f t="shared" si="2"/>
        <v>26.39992449</v>
      </c>
      <c r="Q125" s="104">
        <f t="shared" si="3"/>
        <v>191.02695</v>
      </c>
      <c r="R125" s="104">
        <f t="shared" si="4"/>
        <v>5.90805</v>
      </c>
      <c r="S125" s="105">
        <f t="shared" si="5"/>
        <v>196.935</v>
      </c>
      <c r="T125" s="104">
        <f t="shared" si="6"/>
        <v>65.645</v>
      </c>
      <c r="U125" s="106">
        <v>262.58</v>
      </c>
      <c r="V125" s="106">
        <f t="shared" si="7"/>
        <v>105.032</v>
      </c>
      <c r="W125" s="107">
        <f t="shared" si="8"/>
        <v>14.3158616</v>
      </c>
      <c r="X125" s="108">
        <f t="shared" si="9"/>
        <v>276.8958616</v>
      </c>
      <c r="Y125" s="93">
        <f t="shared" si="10"/>
        <v>0.00848949</v>
      </c>
      <c r="Z125" s="104">
        <f t="shared" si="11"/>
        <v>0</v>
      </c>
      <c r="AA125" s="104">
        <f t="shared" si="12"/>
        <v>0</v>
      </c>
      <c r="AB125" s="104">
        <f t="shared" si="13"/>
        <v>0</v>
      </c>
      <c r="AC125" s="104">
        <f t="shared" si="14"/>
        <v>0</v>
      </c>
      <c r="AD125" s="105">
        <f t="shared" si="15"/>
        <v>0</v>
      </c>
      <c r="AE125" s="109"/>
      <c r="AF125" s="109"/>
      <c r="AG125" s="109"/>
      <c r="AH125" s="104">
        <f t="shared" si="16"/>
        <v>0</v>
      </c>
      <c r="AI125" s="104">
        <f t="shared" si="17"/>
        <v>0</v>
      </c>
      <c r="AJ125" s="95" t="str">
        <f>IF(Pedido!I135="ATENDE QTD. MÍNIMA",Pedido!H135,"")</f>
        <v/>
      </c>
      <c r="AK125" s="110">
        <f t="shared" si="18"/>
        <v>0</v>
      </c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ht="15.75" customHeight="1">
      <c r="A126" s="138" t="s">
        <v>695</v>
      </c>
      <c r="B126" s="119" t="s">
        <v>431</v>
      </c>
      <c r="C126" s="100"/>
      <c r="D126" s="100"/>
      <c r="E126" s="114"/>
      <c r="F126" s="103">
        <v>144.0</v>
      </c>
      <c r="G126" s="117" t="s">
        <v>415</v>
      </c>
      <c r="H126" s="102" t="s">
        <v>698</v>
      </c>
      <c r="I126" s="117" t="s">
        <v>415</v>
      </c>
      <c r="J126" s="102" t="s">
        <v>94</v>
      </c>
      <c r="K126" s="124" t="s">
        <v>415</v>
      </c>
      <c r="L126" s="201"/>
      <c r="M126" s="201"/>
      <c r="N126" s="139">
        <v>132.81</v>
      </c>
      <c r="O126" s="104">
        <f t="shared" si="1"/>
        <v>132.8088309</v>
      </c>
      <c r="P126" s="104">
        <f t="shared" si="2"/>
        <v>21.29749412</v>
      </c>
      <c r="Q126" s="104">
        <f t="shared" si="3"/>
        <v>154.106325</v>
      </c>
      <c r="R126" s="104">
        <f t="shared" si="4"/>
        <v>4.766175</v>
      </c>
      <c r="S126" s="105">
        <f t="shared" si="5"/>
        <v>158.8725</v>
      </c>
      <c r="T126" s="104">
        <f t="shared" si="6"/>
        <v>52.9575</v>
      </c>
      <c r="U126" s="118">
        <v>211.83</v>
      </c>
      <c r="V126" s="106">
        <f t="shared" si="7"/>
        <v>84.732</v>
      </c>
      <c r="W126" s="107">
        <f t="shared" si="8"/>
        <v>11.5489716</v>
      </c>
      <c r="X126" s="108">
        <f t="shared" si="9"/>
        <v>223.3789716</v>
      </c>
      <c r="Y126" s="93">
        <f t="shared" si="10"/>
        <v>0.001169115</v>
      </c>
      <c r="Z126" s="104">
        <f t="shared" si="11"/>
        <v>0</v>
      </c>
      <c r="AA126" s="104">
        <f t="shared" si="12"/>
        <v>0</v>
      </c>
      <c r="AB126" s="104">
        <f t="shared" si="13"/>
        <v>0</v>
      </c>
      <c r="AC126" s="104">
        <f t="shared" si="14"/>
        <v>0</v>
      </c>
      <c r="AD126" s="105">
        <f t="shared" si="15"/>
        <v>0</v>
      </c>
      <c r="AE126" s="109"/>
      <c r="AF126" s="109"/>
      <c r="AG126" s="109"/>
      <c r="AH126" s="104">
        <f t="shared" si="16"/>
        <v>0</v>
      </c>
      <c r="AI126" s="104">
        <f t="shared" si="17"/>
        <v>0</v>
      </c>
      <c r="AJ126" s="95" t="str">
        <f>IF(Pedido!I136="ATENDE QTD. MÍNIMA",Pedido!H136,"")</f>
        <v/>
      </c>
      <c r="AK126" s="110">
        <f t="shared" si="18"/>
        <v>0</v>
      </c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7" ht="15.75" customHeight="1">
      <c r="A127" s="138" t="s">
        <v>695</v>
      </c>
      <c r="B127" s="119" t="s">
        <v>431</v>
      </c>
      <c r="C127" s="141"/>
      <c r="D127" s="141"/>
      <c r="E127" s="142"/>
      <c r="F127" s="143">
        <v>118.0</v>
      </c>
      <c r="G127" s="144" t="s">
        <v>45</v>
      </c>
      <c r="H127" s="98" t="s">
        <v>700</v>
      </c>
      <c r="I127" s="98" t="s">
        <v>45</v>
      </c>
      <c r="J127" s="98" t="s">
        <v>66</v>
      </c>
      <c r="K127" s="144" t="s">
        <v>415</v>
      </c>
      <c r="L127" s="200"/>
      <c r="M127" s="200"/>
      <c r="N127" s="87">
        <v>142.68411300000002</v>
      </c>
      <c r="O127" s="104">
        <f t="shared" si="1"/>
        <v>142.6772891</v>
      </c>
      <c r="P127" s="104">
        <f t="shared" si="2"/>
        <v>22.88002014</v>
      </c>
      <c r="Q127" s="104">
        <f t="shared" si="3"/>
        <v>165.5573092</v>
      </c>
      <c r="R127" s="104">
        <f t="shared" si="4"/>
        <v>5.120329152</v>
      </c>
      <c r="S127" s="105">
        <f t="shared" si="5"/>
        <v>170.6776384</v>
      </c>
      <c r="T127" s="104">
        <f t="shared" si="6"/>
        <v>56.89254613</v>
      </c>
      <c r="U127" s="106">
        <v>227.570184534</v>
      </c>
      <c r="V127" s="106">
        <f t="shared" si="7"/>
        <v>91.02807381</v>
      </c>
      <c r="W127" s="107">
        <f t="shared" si="8"/>
        <v>12.40712646</v>
      </c>
      <c r="X127" s="108">
        <f t="shared" si="9"/>
        <v>239.977311</v>
      </c>
      <c r="Y127" s="93">
        <f t="shared" si="10"/>
        <v>0.006823889656</v>
      </c>
      <c r="Z127" s="104">
        <f t="shared" si="11"/>
        <v>0</v>
      </c>
      <c r="AA127" s="104">
        <f t="shared" si="12"/>
        <v>0</v>
      </c>
      <c r="AB127" s="104">
        <f t="shared" si="13"/>
        <v>0</v>
      </c>
      <c r="AC127" s="104">
        <f t="shared" si="14"/>
        <v>0</v>
      </c>
      <c r="AD127" s="105">
        <f t="shared" si="15"/>
        <v>0</v>
      </c>
      <c r="AE127" s="109"/>
      <c r="AF127" s="109"/>
      <c r="AG127" s="109"/>
      <c r="AH127" s="104">
        <f t="shared" si="16"/>
        <v>0</v>
      </c>
      <c r="AI127" s="104">
        <f t="shared" si="17"/>
        <v>0</v>
      </c>
      <c r="AJ127" s="95" t="str">
        <f>IF(Pedido!I137="ATENDE QTD. MÍNIMA",Pedido!H137,"")</f>
        <v/>
      </c>
      <c r="AK127" s="110">
        <f t="shared" si="18"/>
        <v>0</v>
      </c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</row>
    <row r="128" ht="15.75" customHeight="1">
      <c r="A128" s="138" t="s">
        <v>695</v>
      </c>
      <c r="B128" s="119" t="s">
        <v>431</v>
      </c>
      <c r="C128" s="146"/>
      <c r="D128" s="146"/>
      <c r="E128" s="146"/>
      <c r="F128" s="103">
        <v>51.0</v>
      </c>
      <c r="G128" s="102" t="s">
        <v>168</v>
      </c>
      <c r="H128" s="81" t="s">
        <v>702</v>
      </c>
      <c r="I128" s="102" t="s">
        <v>76</v>
      </c>
      <c r="J128" s="102" t="s">
        <v>165</v>
      </c>
      <c r="K128" s="102" t="s">
        <v>35</v>
      </c>
      <c r="L128" s="200"/>
      <c r="M128" s="200"/>
      <c r="N128" s="87">
        <v>132.80598210000002</v>
      </c>
      <c r="O128" s="113">
        <f t="shared" si="1"/>
        <v>132.8060356</v>
      </c>
      <c r="P128" s="104">
        <f t="shared" si="2"/>
        <v>21.29704585</v>
      </c>
      <c r="Q128" s="104">
        <f t="shared" si="3"/>
        <v>154.1030814</v>
      </c>
      <c r="R128" s="104">
        <f t="shared" si="4"/>
        <v>4.766074683</v>
      </c>
      <c r="S128" s="105">
        <f t="shared" si="5"/>
        <v>158.8691561</v>
      </c>
      <c r="T128" s="104">
        <f t="shared" si="6"/>
        <v>52.95638536</v>
      </c>
      <c r="U128" s="106">
        <v>211.82554144950004</v>
      </c>
      <c r="V128" s="106">
        <f t="shared" si="7"/>
        <v>84.73021658</v>
      </c>
      <c r="W128" s="107">
        <f t="shared" si="8"/>
        <v>11.54872852</v>
      </c>
      <c r="X128" s="108">
        <f t="shared" si="9"/>
        <v>223.37427</v>
      </c>
      <c r="Y128" s="93">
        <f t="shared" si="10"/>
        <v>-0.00005345440781</v>
      </c>
      <c r="Z128" s="104">
        <f t="shared" si="11"/>
        <v>0</v>
      </c>
      <c r="AA128" s="104">
        <f t="shared" si="12"/>
        <v>0</v>
      </c>
      <c r="AB128" s="104">
        <f t="shared" si="13"/>
        <v>0</v>
      </c>
      <c r="AC128" s="104">
        <f t="shared" si="14"/>
        <v>0</v>
      </c>
      <c r="AD128" s="105">
        <f t="shared" si="15"/>
        <v>0</v>
      </c>
      <c r="AE128" s="109"/>
      <c r="AF128" s="109"/>
      <c r="AG128" s="109"/>
      <c r="AH128" s="104">
        <f t="shared" si="16"/>
        <v>0</v>
      </c>
      <c r="AI128" s="104">
        <f t="shared" si="17"/>
        <v>0</v>
      </c>
      <c r="AJ128" s="95" t="str">
        <f>IF(Pedido!I138="ATENDE QTD. MÍNIMA",Pedido!H138,"")</f>
        <v/>
      </c>
      <c r="AK128" s="110">
        <f t="shared" si="18"/>
        <v>0</v>
      </c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</row>
    <row r="129" ht="15.75" customHeight="1">
      <c r="A129" s="147" t="s">
        <v>695</v>
      </c>
      <c r="B129" s="119" t="s">
        <v>431</v>
      </c>
      <c r="C129" s="146"/>
      <c r="D129" s="146"/>
      <c r="E129" s="146"/>
      <c r="F129" s="103">
        <v>122.0</v>
      </c>
      <c r="G129" s="124" t="s">
        <v>41</v>
      </c>
      <c r="H129" s="81" t="s">
        <v>170</v>
      </c>
      <c r="I129" s="81" t="s">
        <v>41</v>
      </c>
      <c r="J129" s="81" t="s">
        <v>94</v>
      </c>
      <c r="K129" s="148" t="s">
        <v>415</v>
      </c>
      <c r="L129" s="198"/>
      <c r="M129" s="198"/>
      <c r="N129" s="87">
        <v>132.80598210000002</v>
      </c>
      <c r="O129" s="149">
        <f t="shared" si="1"/>
        <v>132.8060356</v>
      </c>
      <c r="P129" s="149">
        <f t="shared" si="2"/>
        <v>21.29704585</v>
      </c>
      <c r="Q129" s="149">
        <f t="shared" si="3"/>
        <v>154.1030814</v>
      </c>
      <c r="R129" s="149">
        <f t="shared" si="4"/>
        <v>4.766074683</v>
      </c>
      <c r="S129" s="150">
        <f t="shared" si="5"/>
        <v>158.8691561</v>
      </c>
      <c r="T129" s="149">
        <f t="shared" si="6"/>
        <v>52.95638536</v>
      </c>
      <c r="U129" s="151">
        <v>211.82554144950004</v>
      </c>
      <c r="V129" s="151">
        <f t="shared" si="7"/>
        <v>84.73021658</v>
      </c>
      <c r="W129" s="152">
        <f t="shared" si="8"/>
        <v>11.54872852</v>
      </c>
      <c r="X129" s="153">
        <f t="shared" si="9"/>
        <v>223.37427</v>
      </c>
      <c r="Y129" s="93">
        <f t="shared" si="10"/>
        <v>-0.00005345440781</v>
      </c>
      <c r="Z129" s="149">
        <f t="shared" si="11"/>
        <v>0</v>
      </c>
      <c r="AA129" s="149">
        <f t="shared" si="12"/>
        <v>0</v>
      </c>
      <c r="AB129" s="149">
        <f t="shared" si="13"/>
        <v>0</v>
      </c>
      <c r="AC129" s="149">
        <f t="shared" si="14"/>
        <v>0</v>
      </c>
      <c r="AD129" s="150">
        <f t="shared" si="15"/>
        <v>0</v>
      </c>
      <c r="AE129" s="154"/>
      <c r="AF129" s="154"/>
      <c r="AG129" s="154"/>
      <c r="AH129" s="149">
        <f t="shared" si="16"/>
        <v>0</v>
      </c>
      <c r="AI129" s="149">
        <f t="shared" si="17"/>
        <v>0</v>
      </c>
      <c r="AJ129" s="95" t="str">
        <f>IF(Pedido!I139="ATENDE QTD. MÍNIMA",Pedido!H139,"")</f>
        <v/>
      </c>
      <c r="AK129" s="155">
        <f t="shared" si="18"/>
        <v>0</v>
      </c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0" ht="15.75" customHeight="1">
      <c r="A130" s="138" t="s">
        <v>695</v>
      </c>
      <c r="B130" s="119" t="s">
        <v>431</v>
      </c>
      <c r="C130" s="157"/>
      <c r="D130" s="158"/>
      <c r="E130" s="158"/>
      <c r="F130" s="159">
        <v>132.0</v>
      </c>
      <c r="G130" s="160" t="s">
        <v>174</v>
      </c>
      <c r="H130" s="161" t="s">
        <v>173</v>
      </c>
      <c r="I130" s="162" t="s">
        <v>45</v>
      </c>
      <c r="J130" s="162" t="s">
        <v>42</v>
      </c>
      <c r="K130" s="162" t="s">
        <v>415</v>
      </c>
      <c r="L130" s="202"/>
      <c r="M130" s="202"/>
      <c r="N130" s="163">
        <v>104.83</v>
      </c>
      <c r="O130" s="131">
        <f t="shared" si="1"/>
        <v>104.8300422</v>
      </c>
      <c r="P130" s="131">
        <f t="shared" si="2"/>
        <v>16.81075868</v>
      </c>
      <c r="Q130" s="131">
        <f t="shared" si="3"/>
        <v>121.6408009</v>
      </c>
      <c r="R130" s="131">
        <f t="shared" si="4"/>
        <v>3.762086625</v>
      </c>
      <c r="S130" s="132">
        <f t="shared" si="5"/>
        <v>125.4028875</v>
      </c>
      <c r="T130" s="131">
        <f t="shared" si="6"/>
        <v>41.8009625</v>
      </c>
      <c r="U130" s="127">
        <v>167.20385</v>
      </c>
      <c r="V130" s="127">
        <f t="shared" si="7"/>
        <v>66.88154</v>
      </c>
      <c r="W130" s="133">
        <f t="shared" si="8"/>
        <v>9.115953902</v>
      </c>
      <c r="X130" s="134">
        <f t="shared" si="9"/>
        <v>176.3198039</v>
      </c>
      <c r="Y130" s="93">
        <f t="shared" si="10"/>
        <v>-0.00004219407499</v>
      </c>
      <c r="Z130" s="131">
        <f t="shared" si="11"/>
        <v>0</v>
      </c>
      <c r="AA130" s="131">
        <f t="shared" si="12"/>
        <v>0</v>
      </c>
      <c r="AB130" s="131">
        <f t="shared" si="13"/>
        <v>0</v>
      </c>
      <c r="AC130" s="131">
        <f t="shared" si="14"/>
        <v>0</v>
      </c>
      <c r="AD130" s="132">
        <f t="shared" si="15"/>
        <v>0</v>
      </c>
      <c r="AE130" s="135"/>
      <c r="AF130" s="135"/>
      <c r="AG130" s="135"/>
      <c r="AH130" s="131">
        <f t="shared" si="16"/>
        <v>0</v>
      </c>
      <c r="AI130" s="131">
        <f t="shared" si="17"/>
        <v>0</v>
      </c>
      <c r="AJ130" s="95" t="str">
        <f>IF(Pedido!I140="ATENDE QTD. MÍNIMA",Pedido!H140,"")</f>
        <v/>
      </c>
      <c r="AK130" s="136">
        <f t="shared" si="18"/>
        <v>0</v>
      </c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</row>
    <row r="131" ht="15.75" customHeight="1">
      <c r="A131" s="147" t="s">
        <v>695</v>
      </c>
      <c r="B131" s="119" t="s">
        <v>431</v>
      </c>
      <c r="C131" s="146"/>
      <c r="D131" s="146"/>
      <c r="E131" s="146"/>
      <c r="F131" s="164">
        <v>58.0</v>
      </c>
      <c r="G131" s="165" t="s">
        <v>45</v>
      </c>
      <c r="H131" s="166" t="s">
        <v>189</v>
      </c>
      <c r="I131" s="102" t="s">
        <v>45</v>
      </c>
      <c r="J131" s="102" t="s">
        <v>34</v>
      </c>
      <c r="K131" s="167" t="s">
        <v>415</v>
      </c>
      <c r="L131" s="203"/>
      <c r="M131" s="203"/>
      <c r="N131" s="130">
        <v>142.68411300000002</v>
      </c>
      <c r="O131" s="131">
        <f t="shared" si="1"/>
        <v>142.6772891</v>
      </c>
      <c r="P131" s="131">
        <f t="shared" si="2"/>
        <v>22.88002014</v>
      </c>
      <c r="Q131" s="131">
        <f t="shared" si="3"/>
        <v>165.5573092</v>
      </c>
      <c r="R131" s="131">
        <f t="shared" si="4"/>
        <v>5.120329152</v>
      </c>
      <c r="S131" s="132">
        <f t="shared" si="5"/>
        <v>170.6776384</v>
      </c>
      <c r="T131" s="131">
        <f t="shared" si="6"/>
        <v>56.89254613</v>
      </c>
      <c r="U131" s="127">
        <v>227.570184534</v>
      </c>
      <c r="V131" s="127">
        <f t="shared" si="7"/>
        <v>91.02807381</v>
      </c>
      <c r="W131" s="133">
        <f t="shared" si="8"/>
        <v>12.40712646</v>
      </c>
      <c r="X131" s="134">
        <f t="shared" si="9"/>
        <v>239.977311</v>
      </c>
      <c r="Y131" s="93">
        <f t="shared" si="10"/>
        <v>0.006823889656</v>
      </c>
      <c r="Z131" s="131">
        <f t="shared" si="11"/>
        <v>0</v>
      </c>
      <c r="AA131" s="131">
        <f t="shared" si="12"/>
        <v>0</v>
      </c>
      <c r="AB131" s="131">
        <f t="shared" si="13"/>
        <v>0</v>
      </c>
      <c r="AC131" s="131">
        <f t="shared" si="14"/>
        <v>0</v>
      </c>
      <c r="AD131" s="132">
        <f t="shared" si="15"/>
        <v>0</v>
      </c>
      <c r="AE131" s="135"/>
      <c r="AF131" s="135"/>
      <c r="AG131" s="135"/>
      <c r="AH131" s="131">
        <f t="shared" si="16"/>
        <v>0</v>
      </c>
      <c r="AI131" s="131">
        <f t="shared" si="17"/>
        <v>0</v>
      </c>
      <c r="AJ131" s="95" t="str">
        <f>IF(Pedido!I141="ATENDE QTD. MÍNIMA",Pedido!H141,"")</f>
        <v/>
      </c>
      <c r="AK131" s="136">
        <f t="shared" si="18"/>
        <v>0</v>
      </c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</row>
    <row r="132" ht="15.75" customHeight="1">
      <c r="A132" s="147" t="s">
        <v>695</v>
      </c>
      <c r="B132" s="119" t="s">
        <v>431</v>
      </c>
      <c r="C132" s="146"/>
      <c r="D132" s="146"/>
      <c r="E132" s="146"/>
      <c r="F132" s="164">
        <v>59.0</v>
      </c>
      <c r="G132" s="81" t="s">
        <v>706</v>
      </c>
      <c r="H132" s="81" t="s">
        <v>314</v>
      </c>
      <c r="I132" s="102" t="s">
        <v>269</v>
      </c>
      <c r="J132" s="102" t="s">
        <v>66</v>
      </c>
      <c r="K132" s="167" t="s">
        <v>415</v>
      </c>
      <c r="L132" s="203"/>
      <c r="M132" s="203"/>
      <c r="N132" s="87">
        <v>142.68411300000002</v>
      </c>
      <c r="O132" s="104">
        <f t="shared" si="1"/>
        <v>142.6772891</v>
      </c>
      <c r="P132" s="104">
        <f t="shared" si="2"/>
        <v>22.88002014</v>
      </c>
      <c r="Q132" s="104">
        <f t="shared" si="3"/>
        <v>165.5573092</v>
      </c>
      <c r="R132" s="104">
        <f t="shared" si="4"/>
        <v>5.120329152</v>
      </c>
      <c r="S132" s="105">
        <f t="shared" si="5"/>
        <v>170.6776384</v>
      </c>
      <c r="T132" s="104">
        <f t="shared" si="6"/>
        <v>56.89254613</v>
      </c>
      <c r="U132" s="106">
        <v>227.570184534</v>
      </c>
      <c r="V132" s="106">
        <f t="shared" si="7"/>
        <v>91.02807381</v>
      </c>
      <c r="W132" s="107">
        <f t="shared" si="8"/>
        <v>12.40712646</v>
      </c>
      <c r="X132" s="108">
        <f t="shared" si="9"/>
        <v>239.977311</v>
      </c>
      <c r="Y132" s="93">
        <f t="shared" si="10"/>
        <v>0.006823889656</v>
      </c>
      <c r="Z132" s="131">
        <f t="shared" si="11"/>
        <v>0</v>
      </c>
      <c r="AA132" s="131">
        <f t="shared" si="12"/>
        <v>0</v>
      </c>
      <c r="AB132" s="131">
        <f t="shared" si="13"/>
        <v>0</v>
      </c>
      <c r="AC132" s="131">
        <f t="shared" si="14"/>
        <v>0</v>
      </c>
      <c r="AD132" s="132">
        <f t="shared" si="15"/>
        <v>0</v>
      </c>
      <c r="AE132" s="135"/>
      <c r="AF132" s="135"/>
      <c r="AG132" s="135"/>
      <c r="AH132" s="131">
        <f t="shared" si="16"/>
        <v>0</v>
      </c>
      <c r="AI132" s="131">
        <f t="shared" si="17"/>
        <v>0</v>
      </c>
      <c r="AJ132" s="95" t="str">
        <f>IF(Pedido!I142="ATENDE QTD. MÍNIMA",Pedido!H142,"")</f>
        <v/>
      </c>
      <c r="AK132" s="136">
        <f t="shared" si="18"/>
        <v>0</v>
      </c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</row>
    <row r="133" ht="15.75" customHeight="1">
      <c r="A133" s="147" t="s">
        <v>695</v>
      </c>
      <c r="B133" s="119" t="s">
        <v>431</v>
      </c>
      <c r="C133" s="146"/>
      <c r="D133" s="146"/>
      <c r="E133" s="146"/>
      <c r="F133" s="164">
        <v>126.0</v>
      </c>
      <c r="G133" s="148" t="s">
        <v>708</v>
      </c>
      <c r="H133" s="81" t="s">
        <v>707</v>
      </c>
      <c r="I133" s="102" t="s">
        <v>76</v>
      </c>
      <c r="J133" s="102" t="s">
        <v>34</v>
      </c>
      <c r="K133" s="168" t="s">
        <v>415</v>
      </c>
      <c r="L133" s="203"/>
      <c r="M133" s="203"/>
      <c r="N133" s="130">
        <v>146.08658031000002</v>
      </c>
      <c r="O133" s="169">
        <f t="shared" si="1"/>
        <v>146.0878331</v>
      </c>
      <c r="P133" s="131">
        <f t="shared" si="2"/>
        <v>23.42694191</v>
      </c>
      <c r="Q133" s="131">
        <f t="shared" si="3"/>
        <v>169.514775</v>
      </c>
      <c r="R133" s="131">
        <f t="shared" si="4"/>
        <v>5.242725</v>
      </c>
      <c r="S133" s="132">
        <f t="shared" si="5"/>
        <v>174.7575</v>
      </c>
      <c r="T133" s="131">
        <f t="shared" si="6"/>
        <v>58.2525</v>
      </c>
      <c r="U133" s="127">
        <v>233.01</v>
      </c>
      <c r="V133" s="127">
        <f t="shared" si="7"/>
        <v>93.204</v>
      </c>
      <c r="W133" s="133">
        <f t="shared" si="8"/>
        <v>12.7037052</v>
      </c>
      <c r="X133" s="134">
        <f t="shared" si="9"/>
        <v>245.7137052</v>
      </c>
      <c r="Y133" s="93">
        <f t="shared" si="10"/>
        <v>-0.001252785</v>
      </c>
      <c r="Z133" s="131">
        <f t="shared" si="11"/>
        <v>0</v>
      </c>
      <c r="AA133" s="131">
        <f t="shared" si="12"/>
        <v>0</v>
      </c>
      <c r="AB133" s="131">
        <f t="shared" si="13"/>
        <v>0</v>
      </c>
      <c r="AC133" s="131">
        <f t="shared" si="14"/>
        <v>0</v>
      </c>
      <c r="AD133" s="132">
        <f t="shared" si="15"/>
        <v>0</v>
      </c>
      <c r="AE133" s="135"/>
      <c r="AF133" s="135"/>
      <c r="AG133" s="135"/>
      <c r="AH133" s="131">
        <f t="shared" si="16"/>
        <v>0</v>
      </c>
      <c r="AI133" s="131">
        <f t="shared" si="17"/>
        <v>0</v>
      </c>
      <c r="AJ133" s="95" t="str">
        <f>IF(Pedido!I143="ATENDE QTD. MÍNIMA",Pedido!H143,"")</f>
        <v/>
      </c>
      <c r="AK133" s="136">
        <f t="shared" si="18"/>
        <v>0</v>
      </c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</row>
    <row r="134" ht="15.75" customHeight="1">
      <c r="A134" s="147" t="s">
        <v>695</v>
      </c>
      <c r="B134" s="119" t="s">
        <v>431</v>
      </c>
      <c r="C134" s="146"/>
      <c r="D134" s="170"/>
      <c r="E134" s="170"/>
      <c r="F134" s="164">
        <v>129.0</v>
      </c>
      <c r="G134" s="162" t="s">
        <v>415</v>
      </c>
      <c r="H134" s="81" t="s">
        <v>709</v>
      </c>
      <c r="I134" s="117" t="s">
        <v>415</v>
      </c>
      <c r="J134" s="117" t="s">
        <v>415</v>
      </c>
      <c r="K134" s="167" t="s">
        <v>415</v>
      </c>
      <c r="L134" s="203"/>
      <c r="M134" s="203"/>
      <c r="N134" s="130">
        <v>146.08658031</v>
      </c>
      <c r="O134" s="169">
        <f t="shared" si="1"/>
        <v>146.0878331</v>
      </c>
      <c r="P134" s="131">
        <f t="shared" si="2"/>
        <v>23.42694191</v>
      </c>
      <c r="Q134" s="131">
        <f t="shared" si="3"/>
        <v>169.514775</v>
      </c>
      <c r="R134" s="131">
        <f t="shared" si="4"/>
        <v>5.242725</v>
      </c>
      <c r="S134" s="132">
        <f t="shared" si="5"/>
        <v>174.7575</v>
      </c>
      <c r="T134" s="131">
        <f t="shared" si="6"/>
        <v>58.2525</v>
      </c>
      <c r="U134" s="127">
        <v>233.01</v>
      </c>
      <c r="V134" s="127">
        <f t="shared" si="7"/>
        <v>93.204</v>
      </c>
      <c r="W134" s="133">
        <f t="shared" si="8"/>
        <v>12.7037052</v>
      </c>
      <c r="X134" s="134">
        <f t="shared" si="9"/>
        <v>245.7137052</v>
      </c>
      <c r="Y134" s="93">
        <f t="shared" si="10"/>
        <v>-0.001252785</v>
      </c>
      <c r="Z134" s="131">
        <f t="shared" si="11"/>
        <v>0</v>
      </c>
      <c r="AA134" s="131">
        <f t="shared" si="12"/>
        <v>0</v>
      </c>
      <c r="AB134" s="131">
        <f t="shared" si="13"/>
        <v>0</v>
      </c>
      <c r="AC134" s="131">
        <f t="shared" si="14"/>
        <v>0</v>
      </c>
      <c r="AD134" s="132">
        <f t="shared" si="15"/>
        <v>0</v>
      </c>
      <c r="AE134" s="135"/>
      <c r="AF134" s="135"/>
      <c r="AG134" s="135"/>
      <c r="AH134" s="131">
        <f t="shared" si="16"/>
        <v>0</v>
      </c>
      <c r="AI134" s="131">
        <f t="shared" si="17"/>
        <v>0</v>
      </c>
      <c r="AJ134" s="95" t="str">
        <f>IF(Pedido!I144="ATENDE QTD. MÍNIMA",Pedido!H144,"")</f>
        <v/>
      </c>
      <c r="AK134" s="136">
        <f t="shared" si="18"/>
        <v>0</v>
      </c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</row>
    <row r="135" ht="15.75" customHeight="1">
      <c r="A135" s="147" t="s">
        <v>695</v>
      </c>
      <c r="B135" s="119" t="s">
        <v>431</v>
      </c>
      <c r="C135" s="146"/>
      <c r="D135" s="146"/>
      <c r="E135" s="146"/>
      <c r="F135" s="164">
        <v>143.0</v>
      </c>
      <c r="G135" s="117" t="s">
        <v>415</v>
      </c>
      <c r="H135" s="81" t="s">
        <v>711</v>
      </c>
      <c r="I135" s="117" t="s">
        <v>415</v>
      </c>
      <c r="J135" s="117" t="s">
        <v>415</v>
      </c>
      <c r="K135" s="167" t="s">
        <v>415</v>
      </c>
      <c r="L135" s="204"/>
      <c r="M135" s="204"/>
      <c r="N135" s="171">
        <v>150.0</v>
      </c>
      <c r="O135" s="131">
        <f t="shared" si="1"/>
        <v>150.0000604</v>
      </c>
      <c r="P135" s="131">
        <f t="shared" si="2"/>
        <v>24.05431463</v>
      </c>
      <c r="Q135" s="131">
        <f t="shared" si="3"/>
        <v>174.054375</v>
      </c>
      <c r="R135" s="131">
        <f t="shared" si="4"/>
        <v>5.383125</v>
      </c>
      <c r="S135" s="132">
        <f t="shared" si="5"/>
        <v>179.4375</v>
      </c>
      <c r="T135" s="131">
        <f t="shared" si="6"/>
        <v>59.8125</v>
      </c>
      <c r="U135" s="118">
        <v>239.25</v>
      </c>
      <c r="V135" s="127">
        <f t="shared" si="7"/>
        <v>95.7</v>
      </c>
      <c r="W135" s="133">
        <f t="shared" si="8"/>
        <v>13.04391</v>
      </c>
      <c r="X135" s="134">
        <f t="shared" si="9"/>
        <v>252.29391</v>
      </c>
      <c r="Y135" s="93">
        <f t="shared" si="10"/>
        <v>-0.000060375</v>
      </c>
      <c r="Z135" s="131">
        <f t="shared" si="11"/>
        <v>0</v>
      </c>
      <c r="AA135" s="131">
        <f t="shared" si="12"/>
        <v>0</v>
      </c>
      <c r="AB135" s="131">
        <f t="shared" si="13"/>
        <v>0</v>
      </c>
      <c r="AC135" s="131">
        <f t="shared" si="14"/>
        <v>0</v>
      </c>
      <c r="AD135" s="132">
        <f t="shared" si="15"/>
        <v>0</v>
      </c>
      <c r="AE135" s="135"/>
      <c r="AF135" s="135"/>
      <c r="AG135" s="135"/>
      <c r="AH135" s="131">
        <f t="shared" si="16"/>
        <v>0</v>
      </c>
      <c r="AI135" s="131">
        <f t="shared" si="17"/>
        <v>0</v>
      </c>
      <c r="AJ135" s="95" t="str">
        <f>IF(Pedido!I145="ATENDE QTD. MÍNIMA",Pedido!H145,"")</f>
        <v/>
      </c>
      <c r="AK135" s="136">
        <f t="shared" si="18"/>
        <v>0</v>
      </c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</row>
    <row r="136" ht="15.75" customHeight="1">
      <c r="A136" s="147" t="s">
        <v>695</v>
      </c>
      <c r="B136" s="119" t="s">
        <v>431</v>
      </c>
      <c r="C136" s="146"/>
      <c r="D136" s="146"/>
      <c r="E136" s="146"/>
      <c r="F136" s="164">
        <v>79.0</v>
      </c>
      <c r="G136" s="124" t="s">
        <v>232</v>
      </c>
      <c r="H136" s="81" t="s">
        <v>713</v>
      </c>
      <c r="I136" s="102" t="s">
        <v>232</v>
      </c>
      <c r="J136" s="102" t="s">
        <v>42</v>
      </c>
      <c r="K136" s="167" t="s">
        <v>415</v>
      </c>
      <c r="L136" s="203"/>
      <c r="M136" s="203"/>
      <c r="N136" s="130">
        <v>164.635515</v>
      </c>
      <c r="O136" s="131">
        <f t="shared" si="1"/>
        <v>164.6286999</v>
      </c>
      <c r="P136" s="131">
        <f t="shared" si="2"/>
        <v>26.40019301</v>
      </c>
      <c r="Q136" s="131">
        <f t="shared" si="3"/>
        <v>191.028893</v>
      </c>
      <c r="R136" s="131">
        <f t="shared" si="4"/>
        <v>5.908110091</v>
      </c>
      <c r="S136" s="132">
        <f t="shared" si="5"/>
        <v>196.937003</v>
      </c>
      <c r="T136" s="131">
        <f t="shared" si="6"/>
        <v>65.64566768</v>
      </c>
      <c r="U136" s="127">
        <v>262.582670724</v>
      </c>
      <c r="V136" s="127">
        <f t="shared" si="7"/>
        <v>105.0330683</v>
      </c>
      <c r="W136" s="133">
        <f t="shared" si="8"/>
        <v>14.31600721</v>
      </c>
      <c r="X136" s="134">
        <f t="shared" si="9"/>
        <v>276.8986779</v>
      </c>
      <c r="Y136" s="93">
        <f t="shared" si="10"/>
        <v>0.006815054216</v>
      </c>
      <c r="Z136" s="131">
        <f t="shared" si="11"/>
        <v>0</v>
      </c>
      <c r="AA136" s="131">
        <f t="shared" si="12"/>
        <v>0</v>
      </c>
      <c r="AB136" s="131">
        <f t="shared" si="13"/>
        <v>0</v>
      </c>
      <c r="AC136" s="131">
        <f t="shared" si="14"/>
        <v>0</v>
      </c>
      <c r="AD136" s="132">
        <f t="shared" si="15"/>
        <v>0</v>
      </c>
      <c r="AE136" s="135"/>
      <c r="AF136" s="135"/>
      <c r="AG136" s="135"/>
      <c r="AH136" s="131">
        <f t="shared" si="16"/>
        <v>0</v>
      </c>
      <c r="AI136" s="131">
        <f t="shared" si="17"/>
        <v>0</v>
      </c>
      <c r="AJ136" s="95" t="str">
        <f>IF(Pedido!I146="ATENDE QTD. MÍNIMA",Pedido!H146,"")</f>
        <v/>
      </c>
      <c r="AK136" s="136">
        <f t="shared" si="18"/>
        <v>0</v>
      </c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37" ht="15.75" customHeight="1">
      <c r="A137" s="147" t="s">
        <v>695</v>
      </c>
      <c r="B137" s="119" t="s">
        <v>431</v>
      </c>
      <c r="C137" s="146"/>
      <c r="D137" s="146"/>
      <c r="E137" s="146"/>
      <c r="F137" s="164">
        <v>85.0</v>
      </c>
      <c r="G137" s="123" t="s">
        <v>687</v>
      </c>
      <c r="H137" s="81" t="s">
        <v>260</v>
      </c>
      <c r="I137" s="102" t="s">
        <v>259</v>
      </c>
      <c r="J137" s="102" t="s">
        <v>34</v>
      </c>
      <c r="K137" s="167" t="s">
        <v>415</v>
      </c>
      <c r="L137" s="203"/>
      <c r="M137" s="203"/>
      <c r="N137" s="130">
        <v>65.854206</v>
      </c>
      <c r="O137" s="131">
        <f t="shared" si="1"/>
        <v>65.84735119</v>
      </c>
      <c r="P137" s="131">
        <f t="shared" si="2"/>
        <v>10.5594151</v>
      </c>
      <c r="Q137" s="131">
        <f t="shared" si="3"/>
        <v>76.40676629</v>
      </c>
      <c r="R137" s="131">
        <f t="shared" si="4"/>
        <v>2.363095865</v>
      </c>
      <c r="S137" s="132">
        <f t="shared" si="5"/>
        <v>78.76986215</v>
      </c>
      <c r="T137" s="131">
        <f t="shared" si="6"/>
        <v>26.25662072</v>
      </c>
      <c r="U137" s="127">
        <v>105.02648286899999</v>
      </c>
      <c r="V137" s="127">
        <f t="shared" si="7"/>
        <v>42.01059315</v>
      </c>
      <c r="W137" s="133">
        <f t="shared" si="8"/>
        <v>5.726043846</v>
      </c>
      <c r="X137" s="134">
        <f t="shared" si="9"/>
        <v>110.7525267</v>
      </c>
      <c r="Y137" s="93">
        <f t="shared" si="10"/>
        <v>0.006854813693</v>
      </c>
      <c r="Z137" s="131">
        <f t="shared" si="11"/>
        <v>0</v>
      </c>
      <c r="AA137" s="131">
        <f t="shared" si="12"/>
        <v>0</v>
      </c>
      <c r="AB137" s="131">
        <f t="shared" si="13"/>
        <v>0</v>
      </c>
      <c r="AC137" s="131">
        <f t="shared" si="14"/>
        <v>0</v>
      </c>
      <c r="AD137" s="132">
        <f t="shared" si="15"/>
        <v>0</v>
      </c>
      <c r="AE137" s="135"/>
      <c r="AF137" s="135"/>
      <c r="AG137" s="135"/>
      <c r="AH137" s="131">
        <f t="shared" si="16"/>
        <v>0</v>
      </c>
      <c r="AI137" s="131">
        <f t="shared" si="17"/>
        <v>0</v>
      </c>
      <c r="AJ137" s="95" t="str">
        <f>IF(Pedido!I147="ATENDE QTD. MÍNIMA",Pedido!H147,"")</f>
        <v/>
      </c>
      <c r="AK137" s="136">
        <f t="shared" si="18"/>
        <v>0</v>
      </c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</row>
    <row r="138" ht="15.75" customHeight="1">
      <c r="A138" s="147" t="s">
        <v>695</v>
      </c>
      <c r="B138" s="119" t="s">
        <v>431</v>
      </c>
      <c r="C138" s="146"/>
      <c r="D138" s="146"/>
      <c r="E138" s="146"/>
      <c r="F138" s="164">
        <v>119.0</v>
      </c>
      <c r="G138" s="148" t="s">
        <v>716</v>
      </c>
      <c r="H138" s="81" t="s">
        <v>715</v>
      </c>
      <c r="I138" s="125" t="s">
        <v>45</v>
      </c>
      <c r="J138" s="102" t="s">
        <v>66</v>
      </c>
      <c r="K138" s="168" t="s">
        <v>415</v>
      </c>
      <c r="L138" s="203"/>
      <c r="M138" s="203"/>
      <c r="N138" s="130">
        <v>142.68411300000002</v>
      </c>
      <c r="O138" s="131">
        <f t="shared" si="1"/>
        <v>142.6772891</v>
      </c>
      <c r="P138" s="131">
        <f t="shared" si="2"/>
        <v>22.88002014</v>
      </c>
      <c r="Q138" s="131">
        <f t="shared" si="3"/>
        <v>165.5573092</v>
      </c>
      <c r="R138" s="131">
        <f t="shared" si="4"/>
        <v>5.120329152</v>
      </c>
      <c r="S138" s="132">
        <f t="shared" si="5"/>
        <v>170.6776384</v>
      </c>
      <c r="T138" s="131">
        <f t="shared" si="6"/>
        <v>56.89254613</v>
      </c>
      <c r="U138" s="127">
        <v>227.570184534</v>
      </c>
      <c r="V138" s="127">
        <f t="shared" si="7"/>
        <v>91.02807381</v>
      </c>
      <c r="W138" s="133">
        <f t="shared" si="8"/>
        <v>12.40712646</v>
      </c>
      <c r="X138" s="134">
        <f t="shared" si="9"/>
        <v>239.977311</v>
      </c>
      <c r="Y138" s="93">
        <f t="shared" si="10"/>
        <v>0.006823889656</v>
      </c>
      <c r="Z138" s="131">
        <f t="shared" si="11"/>
        <v>0</v>
      </c>
      <c r="AA138" s="131">
        <f t="shared" si="12"/>
        <v>0</v>
      </c>
      <c r="AB138" s="131">
        <f t="shared" si="13"/>
        <v>0</v>
      </c>
      <c r="AC138" s="131">
        <f t="shared" si="14"/>
        <v>0</v>
      </c>
      <c r="AD138" s="132">
        <f t="shared" si="15"/>
        <v>0</v>
      </c>
      <c r="AE138" s="135"/>
      <c r="AF138" s="135"/>
      <c r="AG138" s="135"/>
      <c r="AH138" s="131">
        <f t="shared" si="16"/>
        <v>0</v>
      </c>
      <c r="AI138" s="131">
        <f t="shared" si="17"/>
        <v>0</v>
      </c>
      <c r="AJ138" s="95" t="str">
        <f>IF(Pedido!I148="ATENDE QTD. MÍNIMA",Pedido!H148,"")</f>
        <v/>
      </c>
      <c r="AK138" s="136">
        <f t="shared" si="18"/>
        <v>0</v>
      </c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</row>
    <row r="139" ht="15.75" customHeight="1">
      <c r="A139" s="138" t="s">
        <v>695</v>
      </c>
      <c r="B139" s="119" t="s">
        <v>431</v>
      </c>
      <c r="C139" s="146"/>
      <c r="D139" s="146"/>
      <c r="E139" s="146"/>
      <c r="F139" s="164">
        <v>91.0</v>
      </c>
      <c r="G139" s="124" t="s">
        <v>716</v>
      </c>
      <c r="H139" s="81" t="s">
        <v>717</v>
      </c>
      <c r="I139" s="102" t="s">
        <v>45</v>
      </c>
      <c r="J139" s="102" t="s">
        <v>34</v>
      </c>
      <c r="K139" s="172" t="s">
        <v>415</v>
      </c>
      <c r="L139" s="203"/>
      <c r="M139" s="203"/>
      <c r="N139" s="130">
        <v>199.20897315000002</v>
      </c>
      <c r="O139" s="169">
        <f t="shared" si="1"/>
        <v>199.2101115</v>
      </c>
      <c r="P139" s="131">
        <f t="shared" si="2"/>
        <v>31.94573847</v>
      </c>
      <c r="Q139" s="131">
        <f t="shared" si="3"/>
        <v>231.15585</v>
      </c>
      <c r="R139" s="131">
        <f t="shared" si="4"/>
        <v>7.14915</v>
      </c>
      <c r="S139" s="132">
        <f t="shared" si="5"/>
        <v>238.305</v>
      </c>
      <c r="T139" s="131">
        <f t="shared" si="6"/>
        <v>79.435</v>
      </c>
      <c r="U139" s="127">
        <v>317.74</v>
      </c>
      <c r="V139" s="127">
        <f t="shared" si="7"/>
        <v>127.096</v>
      </c>
      <c r="W139" s="133">
        <f t="shared" si="8"/>
        <v>17.3231848</v>
      </c>
      <c r="X139" s="134">
        <f t="shared" si="9"/>
        <v>335.0631848</v>
      </c>
      <c r="Y139" s="93">
        <f t="shared" si="10"/>
        <v>-0.00113838</v>
      </c>
      <c r="Z139" s="131">
        <f t="shared" si="11"/>
        <v>0</v>
      </c>
      <c r="AA139" s="131">
        <f t="shared" si="12"/>
        <v>0</v>
      </c>
      <c r="AB139" s="131">
        <f t="shared" si="13"/>
        <v>0</v>
      </c>
      <c r="AC139" s="131">
        <f t="shared" si="14"/>
        <v>0</v>
      </c>
      <c r="AD139" s="132">
        <f t="shared" si="15"/>
        <v>0</v>
      </c>
      <c r="AE139" s="135"/>
      <c r="AF139" s="135"/>
      <c r="AG139" s="135"/>
      <c r="AH139" s="131">
        <f t="shared" si="16"/>
        <v>0</v>
      </c>
      <c r="AI139" s="131">
        <f t="shared" si="17"/>
        <v>0</v>
      </c>
      <c r="AJ139" s="95" t="str">
        <f>IF(Pedido!I149="ATENDE QTD. MÍNIMA",Pedido!H149,"")</f>
        <v/>
      </c>
      <c r="AK139" s="136">
        <f t="shared" si="18"/>
        <v>0</v>
      </c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</row>
    <row r="140" ht="15.75" customHeight="1">
      <c r="A140" s="138" t="s">
        <v>695</v>
      </c>
      <c r="B140" s="119" t="s">
        <v>431</v>
      </c>
      <c r="C140" s="146"/>
      <c r="D140" s="146"/>
      <c r="E140" s="146"/>
      <c r="F140" s="164">
        <v>93.0</v>
      </c>
      <c r="G140" s="102" t="s">
        <v>271</v>
      </c>
      <c r="H140" s="81" t="s">
        <v>270</v>
      </c>
      <c r="I140" s="102" t="s">
        <v>269</v>
      </c>
      <c r="J140" s="102" t="s">
        <v>692</v>
      </c>
      <c r="K140" s="172" t="s">
        <v>415</v>
      </c>
      <c r="L140" s="203"/>
      <c r="M140" s="203"/>
      <c r="N140" s="130">
        <v>157.245</v>
      </c>
      <c r="O140" s="169">
        <f t="shared" si="1"/>
        <v>157.2414426</v>
      </c>
      <c r="P140" s="131">
        <f t="shared" si="2"/>
        <v>25.2155574</v>
      </c>
      <c r="Q140" s="131">
        <f t="shared" si="3"/>
        <v>182.457</v>
      </c>
      <c r="R140" s="131">
        <f t="shared" si="4"/>
        <v>5.643</v>
      </c>
      <c r="S140" s="132">
        <f t="shared" si="5"/>
        <v>188.1</v>
      </c>
      <c r="T140" s="131">
        <f t="shared" si="6"/>
        <v>62.7</v>
      </c>
      <c r="U140" s="127">
        <v>250.8</v>
      </c>
      <c r="V140" s="127">
        <f t="shared" si="7"/>
        <v>100.32</v>
      </c>
      <c r="W140" s="133">
        <f t="shared" si="8"/>
        <v>13.673616</v>
      </c>
      <c r="X140" s="134">
        <f t="shared" si="9"/>
        <v>264.473616</v>
      </c>
      <c r="Y140" s="93">
        <f t="shared" si="10"/>
        <v>0.0035574</v>
      </c>
      <c r="Z140" s="131">
        <f t="shared" si="11"/>
        <v>0</v>
      </c>
      <c r="AA140" s="131">
        <f t="shared" si="12"/>
        <v>0</v>
      </c>
      <c r="AB140" s="131">
        <f t="shared" si="13"/>
        <v>0</v>
      </c>
      <c r="AC140" s="131">
        <f t="shared" si="14"/>
        <v>0</v>
      </c>
      <c r="AD140" s="132">
        <f t="shared" si="15"/>
        <v>0</v>
      </c>
      <c r="AE140" s="135"/>
      <c r="AF140" s="135"/>
      <c r="AG140" s="135"/>
      <c r="AH140" s="131">
        <f t="shared" si="16"/>
        <v>0</v>
      </c>
      <c r="AI140" s="131">
        <f t="shared" si="17"/>
        <v>0</v>
      </c>
      <c r="AJ140" s="95" t="str">
        <f>IF(Pedido!I150="ATENDE QTD. MÍNIMA",Pedido!H150,"")</f>
        <v/>
      </c>
      <c r="AK140" s="136">
        <f t="shared" si="18"/>
        <v>0</v>
      </c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</row>
    <row r="141" ht="15.75" customHeight="1">
      <c r="A141" s="147" t="s">
        <v>695</v>
      </c>
      <c r="B141" s="119" t="s">
        <v>431</v>
      </c>
      <c r="C141" s="146"/>
      <c r="D141" s="170"/>
      <c r="E141" s="170"/>
      <c r="F141" s="164">
        <v>139.0</v>
      </c>
      <c r="G141" s="117" t="s">
        <v>415</v>
      </c>
      <c r="H141" s="161" t="s">
        <v>720</v>
      </c>
      <c r="I141" s="117" t="s">
        <v>415</v>
      </c>
      <c r="J141" s="117" t="s">
        <v>415</v>
      </c>
      <c r="K141" s="172" t="s">
        <v>415</v>
      </c>
      <c r="L141" s="203"/>
      <c r="M141" s="203"/>
      <c r="N141" s="130">
        <v>0.0</v>
      </c>
      <c r="O141" s="131">
        <f t="shared" si="1"/>
        <v>0</v>
      </c>
      <c r="P141" s="131">
        <f t="shared" si="2"/>
        <v>0</v>
      </c>
      <c r="Q141" s="131">
        <f t="shared" si="3"/>
        <v>0</v>
      </c>
      <c r="R141" s="131">
        <f t="shared" si="4"/>
        <v>0</v>
      </c>
      <c r="S141" s="132">
        <f t="shared" si="5"/>
        <v>0</v>
      </c>
      <c r="T141" s="131">
        <f t="shared" si="6"/>
        <v>0</v>
      </c>
      <c r="U141" s="127">
        <v>0.0</v>
      </c>
      <c r="V141" s="127">
        <f t="shared" si="7"/>
        <v>0</v>
      </c>
      <c r="W141" s="133">
        <f t="shared" si="8"/>
        <v>0</v>
      </c>
      <c r="X141" s="134">
        <f t="shared" si="9"/>
        <v>0</v>
      </c>
      <c r="Y141" s="93">
        <f t="shared" si="10"/>
        <v>0</v>
      </c>
      <c r="Z141" s="131">
        <f t="shared" si="11"/>
        <v>0</v>
      </c>
      <c r="AA141" s="131">
        <f t="shared" si="12"/>
        <v>0</v>
      </c>
      <c r="AB141" s="131">
        <f t="shared" si="13"/>
        <v>0</v>
      </c>
      <c r="AC141" s="131">
        <f t="shared" si="14"/>
        <v>0</v>
      </c>
      <c r="AD141" s="132">
        <f t="shared" si="15"/>
        <v>0</v>
      </c>
      <c r="AE141" s="135"/>
      <c r="AF141" s="135"/>
      <c r="AG141" s="135"/>
      <c r="AH141" s="131">
        <f t="shared" si="16"/>
        <v>0</v>
      </c>
      <c r="AI141" s="131">
        <f t="shared" si="17"/>
        <v>0</v>
      </c>
      <c r="AJ141" s="95" t="str">
        <f>IF(Pedido!I151="ATENDE QTD. MÍNIMA",Pedido!H151,"")</f>
        <v/>
      </c>
      <c r="AK141" s="136">
        <f t="shared" si="18"/>
        <v>0</v>
      </c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</row>
    <row r="142" ht="15.75" customHeight="1">
      <c r="A142" s="138" t="s">
        <v>695</v>
      </c>
      <c r="B142" s="173" t="s">
        <v>431</v>
      </c>
      <c r="C142" s="141"/>
      <c r="D142" s="141"/>
      <c r="E142" s="142"/>
      <c r="F142" s="143">
        <v>92.0</v>
      </c>
      <c r="G142" s="144" t="s">
        <v>276</v>
      </c>
      <c r="H142" s="98" t="s">
        <v>275</v>
      </c>
      <c r="I142" s="98" t="s">
        <v>164</v>
      </c>
      <c r="J142" s="98" t="s">
        <v>34</v>
      </c>
      <c r="K142" s="174" t="s">
        <v>415</v>
      </c>
      <c r="L142" s="205"/>
      <c r="M142" s="205"/>
      <c r="N142" s="130">
        <v>164.635515</v>
      </c>
      <c r="O142" s="131">
        <f t="shared" si="1"/>
        <v>164.6286999</v>
      </c>
      <c r="P142" s="131">
        <f t="shared" si="2"/>
        <v>26.40019301</v>
      </c>
      <c r="Q142" s="131">
        <f t="shared" si="3"/>
        <v>191.028893</v>
      </c>
      <c r="R142" s="131">
        <f t="shared" si="4"/>
        <v>5.908110091</v>
      </c>
      <c r="S142" s="132">
        <f t="shared" si="5"/>
        <v>196.937003</v>
      </c>
      <c r="T142" s="131">
        <f t="shared" si="6"/>
        <v>65.64566768</v>
      </c>
      <c r="U142" s="127">
        <v>262.582670724</v>
      </c>
      <c r="V142" s="127">
        <f t="shared" si="7"/>
        <v>105.0330683</v>
      </c>
      <c r="W142" s="133">
        <f t="shared" si="8"/>
        <v>14.31600721</v>
      </c>
      <c r="X142" s="134">
        <f t="shared" si="9"/>
        <v>276.8986779</v>
      </c>
      <c r="Y142" s="93">
        <f t="shared" si="10"/>
        <v>0.006815054216</v>
      </c>
      <c r="Z142" s="131">
        <f t="shared" si="11"/>
        <v>0</v>
      </c>
      <c r="AA142" s="131">
        <f t="shared" si="12"/>
        <v>0</v>
      </c>
      <c r="AB142" s="131">
        <f t="shared" si="13"/>
        <v>0</v>
      </c>
      <c r="AC142" s="131">
        <f t="shared" si="14"/>
        <v>0</v>
      </c>
      <c r="AD142" s="132">
        <f t="shared" si="15"/>
        <v>0</v>
      </c>
      <c r="AE142" s="135"/>
      <c r="AF142" s="135"/>
      <c r="AG142" s="135"/>
      <c r="AH142" s="131">
        <f t="shared" si="16"/>
        <v>0</v>
      </c>
      <c r="AI142" s="131">
        <f t="shared" si="17"/>
        <v>0</v>
      </c>
      <c r="AJ142" s="95" t="str">
        <f>IF(Pedido!I152="ATENDE QTD. MÍNIMA",Pedido!H152,"")</f>
        <v/>
      </c>
      <c r="AK142" s="136">
        <f t="shared" si="18"/>
        <v>0</v>
      </c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</row>
    <row r="143" ht="15.75" customHeight="1">
      <c r="A143" s="138" t="s">
        <v>695</v>
      </c>
      <c r="B143" s="173" t="s">
        <v>431</v>
      </c>
      <c r="C143" s="141"/>
      <c r="D143" s="175"/>
      <c r="E143" s="175"/>
      <c r="F143" s="143">
        <v>127.0</v>
      </c>
      <c r="G143" s="174" t="s">
        <v>724</v>
      </c>
      <c r="H143" s="98" t="s">
        <v>321</v>
      </c>
      <c r="I143" s="174" t="s">
        <v>307</v>
      </c>
      <c r="J143" s="174" t="s">
        <v>415</v>
      </c>
      <c r="K143" s="174" t="s">
        <v>415</v>
      </c>
      <c r="L143" s="205"/>
      <c r="M143" s="205"/>
      <c r="N143" s="130">
        <v>65.854206</v>
      </c>
      <c r="O143" s="131">
        <f t="shared" si="1"/>
        <v>65.84735119</v>
      </c>
      <c r="P143" s="131">
        <f t="shared" si="2"/>
        <v>10.5594151</v>
      </c>
      <c r="Q143" s="131">
        <f t="shared" si="3"/>
        <v>76.40676629</v>
      </c>
      <c r="R143" s="131">
        <f t="shared" si="4"/>
        <v>2.363095865</v>
      </c>
      <c r="S143" s="132">
        <f t="shared" si="5"/>
        <v>78.76986215</v>
      </c>
      <c r="T143" s="131">
        <f t="shared" si="6"/>
        <v>26.25662072</v>
      </c>
      <c r="U143" s="127">
        <v>105.02648286899999</v>
      </c>
      <c r="V143" s="127">
        <f t="shared" si="7"/>
        <v>42.01059315</v>
      </c>
      <c r="W143" s="133">
        <f t="shared" si="8"/>
        <v>5.726043846</v>
      </c>
      <c r="X143" s="134">
        <f t="shared" si="9"/>
        <v>110.7525267</v>
      </c>
      <c r="Y143" s="93">
        <f t="shared" si="10"/>
        <v>0.006854813693</v>
      </c>
      <c r="Z143" s="131">
        <f t="shared" si="11"/>
        <v>0</v>
      </c>
      <c r="AA143" s="131">
        <f t="shared" si="12"/>
        <v>0</v>
      </c>
      <c r="AB143" s="131">
        <f t="shared" si="13"/>
        <v>0</v>
      </c>
      <c r="AC143" s="131">
        <f t="shared" si="14"/>
        <v>0</v>
      </c>
      <c r="AD143" s="132">
        <f t="shared" si="15"/>
        <v>0</v>
      </c>
      <c r="AE143" s="135"/>
      <c r="AF143" s="135"/>
      <c r="AG143" s="135"/>
      <c r="AH143" s="131">
        <f t="shared" si="16"/>
        <v>0</v>
      </c>
      <c r="AI143" s="131">
        <f t="shared" si="17"/>
        <v>0</v>
      </c>
      <c r="AJ143" s="95" t="str">
        <f>IF(Pedido!I153="ATENDE QTD. MÍNIMA",Pedido!H153,"")</f>
        <v/>
      </c>
      <c r="AK143" s="136">
        <f t="shared" si="18"/>
        <v>0</v>
      </c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</row>
    <row r="144" ht="15.75" customHeight="1">
      <c r="A144" s="138" t="s">
        <v>695</v>
      </c>
      <c r="B144" s="119" t="s">
        <v>431</v>
      </c>
      <c r="C144" s="100"/>
      <c r="D144" s="100"/>
      <c r="E144" s="114"/>
      <c r="F144" s="103">
        <v>113.0</v>
      </c>
      <c r="G144" s="124" t="s">
        <v>725</v>
      </c>
      <c r="H144" s="102" t="s">
        <v>308</v>
      </c>
      <c r="I144" s="102" t="s">
        <v>307</v>
      </c>
      <c r="J144" s="102" t="s">
        <v>66</v>
      </c>
      <c r="K144" s="124" t="s">
        <v>415</v>
      </c>
      <c r="L144" s="200"/>
      <c r="M144" s="200"/>
      <c r="N144" s="87">
        <v>132.80598210000002</v>
      </c>
      <c r="O144" s="131">
        <f t="shared" si="1"/>
        <v>132.8060356</v>
      </c>
      <c r="P144" s="131">
        <f t="shared" si="2"/>
        <v>21.29704585</v>
      </c>
      <c r="Q144" s="131">
        <f t="shared" si="3"/>
        <v>154.1030814</v>
      </c>
      <c r="R144" s="131">
        <f t="shared" si="4"/>
        <v>4.766074683</v>
      </c>
      <c r="S144" s="132">
        <f t="shared" si="5"/>
        <v>158.8691561</v>
      </c>
      <c r="T144" s="131">
        <f t="shared" si="6"/>
        <v>52.95638536</v>
      </c>
      <c r="U144" s="127">
        <v>211.82554144950004</v>
      </c>
      <c r="V144" s="127">
        <f t="shared" si="7"/>
        <v>84.73021658</v>
      </c>
      <c r="W144" s="133">
        <f t="shared" si="8"/>
        <v>11.54872852</v>
      </c>
      <c r="X144" s="134">
        <f t="shared" si="9"/>
        <v>223.37427</v>
      </c>
      <c r="Y144" s="93">
        <f t="shared" si="10"/>
        <v>-0.00005345440781</v>
      </c>
      <c r="Z144" s="131">
        <f t="shared" si="11"/>
        <v>0</v>
      </c>
      <c r="AA144" s="131">
        <f t="shared" si="12"/>
        <v>0</v>
      </c>
      <c r="AB144" s="131">
        <f t="shared" si="13"/>
        <v>0</v>
      </c>
      <c r="AC144" s="131">
        <f t="shared" si="14"/>
        <v>0</v>
      </c>
      <c r="AD144" s="132">
        <f t="shared" si="15"/>
        <v>0</v>
      </c>
      <c r="AE144" s="135"/>
      <c r="AF144" s="135"/>
      <c r="AG144" s="135"/>
      <c r="AH144" s="131">
        <f t="shared" si="16"/>
        <v>0</v>
      </c>
      <c r="AI144" s="131">
        <f t="shared" si="17"/>
        <v>0</v>
      </c>
      <c r="AJ144" s="95" t="str">
        <f>IF(Pedido!I154="ATENDE QTD. MÍNIMA",Pedido!H154,"")</f>
        <v/>
      </c>
      <c r="AK144" s="136">
        <f t="shared" si="18"/>
        <v>0</v>
      </c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</row>
    <row r="145" ht="15.75" customHeight="1">
      <c r="A145" s="147" t="s">
        <v>695</v>
      </c>
      <c r="B145" s="173" t="s">
        <v>431</v>
      </c>
      <c r="C145" s="100"/>
      <c r="D145" s="114"/>
      <c r="E145" s="114"/>
      <c r="F145" s="176">
        <v>103.0</v>
      </c>
      <c r="G145" s="144" t="s">
        <v>293</v>
      </c>
      <c r="H145" s="81" t="s">
        <v>726</v>
      </c>
      <c r="I145" s="98" t="s">
        <v>45</v>
      </c>
      <c r="J145" s="98" t="s">
        <v>34</v>
      </c>
      <c r="K145" s="174" t="s">
        <v>415</v>
      </c>
      <c r="L145" s="205"/>
      <c r="M145" s="205"/>
      <c r="N145" s="130">
        <v>164.635515</v>
      </c>
      <c r="O145" s="131">
        <f t="shared" si="1"/>
        <v>164.6286999</v>
      </c>
      <c r="P145" s="131">
        <f t="shared" si="2"/>
        <v>26.40019301</v>
      </c>
      <c r="Q145" s="131">
        <f t="shared" si="3"/>
        <v>191.028893</v>
      </c>
      <c r="R145" s="131">
        <f t="shared" si="4"/>
        <v>5.908110091</v>
      </c>
      <c r="S145" s="132">
        <f t="shared" si="5"/>
        <v>196.937003</v>
      </c>
      <c r="T145" s="131">
        <f t="shared" si="6"/>
        <v>65.64566768</v>
      </c>
      <c r="U145" s="127">
        <v>262.582670724</v>
      </c>
      <c r="V145" s="127">
        <f t="shared" si="7"/>
        <v>105.0330683</v>
      </c>
      <c r="W145" s="133">
        <f t="shared" si="8"/>
        <v>14.31600721</v>
      </c>
      <c r="X145" s="134">
        <f t="shared" si="9"/>
        <v>276.8986779</v>
      </c>
      <c r="Y145" s="93">
        <f t="shared" si="10"/>
        <v>0.006815054216</v>
      </c>
      <c r="Z145" s="131">
        <f t="shared" si="11"/>
        <v>0</v>
      </c>
      <c r="AA145" s="131">
        <f t="shared" si="12"/>
        <v>0</v>
      </c>
      <c r="AB145" s="131">
        <f t="shared" si="13"/>
        <v>0</v>
      </c>
      <c r="AC145" s="131">
        <f t="shared" si="14"/>
        <v>0</v>
      </c>
      <c r="AD145" s="132">
        <f t="shared" si="15"/>
        <v>0</v>
      </c>
      <c r="AE145" s="135"/>
      <c r="AF145" s="135"/>
      <c r="AG145" s="135"/>
      <c r="AH145" s="131">
        <f t="shared" si="16"/>
        <v>0</v>
      </c>
      <c r="AI145" s="131">
        <f t="shared" si="17"/>
        <v>0</v>
      </c>
      <c r="AJ145" s="95" t="str">
        <f>IF(Pedido!I155="ATENDE QTD. MÍNIMA",Pedido!H155,"")</f>
        <v/>
      </c>
      <c r="AK145" s="136">
        <f t="shared" si="18"/>
        <v>0</v>
      </c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</row>
    <row r="146" ht="15.75" customHeight="1">
      <c r="A146" s="147" t="s">
        <v>695</v>
      </c>
      <c r="B146" s="119" t="s">
        <v>431</v>
      </c>
      <c r="C146" s="100"/>
      <c r="D146" s="114"/>
      <c r="E146" s="114"/>
      <c r="F146" s="176">
        <v>104.0</v>
      </c>
      <c r="G146" s="144" t="s">
        <v>313</v>
      </c>
      <c r="H146" s="81" t="s">
        <v>312</v>
      </c>
      <c r="I146" s="167" t="s">
        <v>415</v>
      </c>
      <c r="J146" s="177" t="s">
        <v>34</v>
      </c>
      <c r="K146" s="117" t="s">
        <v>415</v>
      </c>
      <c r="L146" s="200"/>
      <c r="M146" s="200"/>
      <c r="N146" s="130">
        <v>164.635515</v>
      </c>
      <c r="O146" s="131">
        <f t="shared" si="1"/>
        <v>164.6286999</v>
      </c>
      <c r="P146" s="131">
        <f t="shared" si="2"/>
        <v>26.40019301</v>
      </c>
      <c r="Q146" s="131">
        <f t="shared" si="3"/>
        <v>191.028893</v>
      </c>
      <c r="R146" s="131">
        <f t="shared" si="4"/>
        <v>5.908110091</v>
      </c>
      <c r="S146" s="132">
        <f t="shared" si="5"/>
        <v>196.937003</v>
      </c>
      <c r="T146" s="131">
        <f t="shared" si="6"/>
        <v>65.64566768</v>
      </c>
      <c r="U146" s="127">
        <v>262.582670724</v>
      </c>
      <c r="V146" s="127">
        <f t="shared" si="7"/>
        <v>105.0330683</v>
      </c>
      <c r="W146" s="133">
        <f t="shared" si="8"/>
        <v>14.31600721</v>
      </c>
      <c r="X146" s="134">
        <f t="shared" si="9"/>
        <v>276.8986779</v>
      </c>
      <c r="Y146" s="93">
        <f t="shared" si="10"/>
        <v>0.006815054216</v>
      </c>
      <c r="Z146" s="131">
        <f t="shared" si="11"/>
        <v>0</v>
      </c>
      <c r="AA146" s="131">
        <f t="shared" si="12"/>
        <v>0</v>
      </c>
      <c r="AB146" s="131">
        <f t="shared" si="13"/>
        <v>0</v>
      </c>
      <c r="AC146" s="131">
        <f t="shared" si="14"/>
        <v>0</v>
      </c>
      <c r="AD146" s="132">
        <f t="shared" si="15"/>
        <v>0</v>
      </c>
      <c r="AE146" s="135"/>
      <c r="AF146" s="135"/>
      <c r="AG146" s="135"/>
      <c r="AH146" s="131">
        <f t="shared" si="16"/>
        <v>0</v>
      </c>
      <c r="AI146" s="131">
        <f t="shared" si="17"/>
        <v>0</v>
      </c>
      <c r="AJ146" s="95" t="str">
        <f>IF(Pedido!I156="ATENDE QTD. MÍNIMA",Pedido!H156,"")</f>
        <v/>
      </c>
      <c r="AK146" s="136">
        <f t="shared" si="18"/>
        <v>0</v>
      </c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</row>
    <row r="147" ht="15.75" customHeight="1">
      <c r="A147" s="178"/>
      <c r="B147" s="178"/>
      <c r="C147" s="6"/>
      <c r="D147" s="179"/>
      <c r="E147" s="179"/>
      <c r="F147" s="180"/>
      <c r="G147" s="179"/>
      <c r="H147" s="179"/>
      <c r="I147" s="179"/>
      <c r="J147" s="179"/>
      <c r="K147" s="179"/>
      <c r="L147" s="181"/>
      <c r="M147" s="181"/>
      <c r="N147" s="181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</row>
    <row r="148" ht="15.75" customHeight="1">
      <c r="A148" s="178"/>
      <c r="B148" s="178"/>
      <c r="C148" s="6"/>
      <c r="D148" s="179"/>
      <c r="E148" s="179"/>
      <c r="F148" s="180"/>
      <c r="G148" s="179"/>
      <c r="H148" s="179"/>
      <c r="I148" s="179"/>
      <c r="J148" s="179"/>
      <c r="K148" s="179"/>
      <c r="L148" s="181"/>
      <c r="M148" s="181"/>
      <c r="N148" s="181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</row>
    <row r="149" ht="15.75" customHeight="1">
      <c r="A149" s="178"/>
      <c r="B149" s="178"/>
      <c r="C149" s="6"/>
      <c r="D149" s="179"/>
      <c r="E149" s="179"/>
      <c r="F149" s="180"/>
      <c r="G149" s="179"/>
      <c r="H149" s="179"/>
      <c r="I149" s="179"/>
      <c r="J149" s="179"/>
      <c r="K149" s="179"/>
      <c r="L149" s="181"/>
      <c r="M149" s="181"/>
      <c r="N149" s="181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</row>
    <row r="150" ht="15.75" customHeight="1">
      <c r="A150" s="178"/>
      <c r="B150" s="178"/>
      <c r="C150" s="6"/>
      <c r="D150" s="179"/>
      <c r="E150" s="179"/>
      <c r="F150" s="180"/>
      <c r="G150" s="179"/>
      <c r="H150" s="179"/>
      <c r="I150" s="179"/>
      <c r="J150" s="179"/>
      <c r="K150" s="179"/>
      <c r="L150" s="181"/>
      <c r="M150" s="181"/>
      <c r="N150" s="181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</row>
    <row r="151" ht="15.75" customHeight="1">
      <c r="A151" s="178"/>
      <c r="B151" s="178"/>
      <c r="C151" s="6"/>
      <c r="D151" s="179"/>
      <c r="E151" s="179"/>
      <c r="F151" s="180"/>
      <c r="G151" s="179"/>
      <c r="H151" s="179"/>
      <c r="I151" s="179"/>
      <c r="J151" s="179"/>
      <c r="K151" s="179"/>
      <c r="L151" s="181"/>
      <c r="M151" s="181"/>
      <c r="N151" s="181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</row>
    <row r="152" ht="15.75" customHeight="1">
      <c r="A152" s="178"/>
      <c r="B152" s="178"/>
      <c r="C152" s="6"/>
      <c r="D152" s="179"/>
      <c r="E152" s="179"/>
      <c r="F152" s="180"/>
      <c r="G152" s="179"/>
      <c r="H152" s="179"/>
      <c r="I152" s="179"/>
      <c r="J152" s="179"/>
      <c r="K152" s="179"/>
      <c r="L152" s="181"/>
      <c r="M152" s="181"/>
      <c r="N152" s="181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ht="15.75" customHeight="1">
      <c r="A153" s="178"/>
      <c r="B153" s="178"/>
      <c r="C153" s="6"/>
      <c r="D153" s="179"/>
      <c r="E153" s="179"/>
      <c r="F153" s="180"/>
      <c r="G153" s="179"/>
      <c r="H153" s="179"/>
      <c r="I153" s="179"/>
      <c r="J153" s="179"/>
      <c r="K153" s="179"/>
      <c r="L153" s="181"/>
      <c r="M153" s="181"/>
      <c r="N153" s="181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ht="15.75" customHeight="1">
      <c r="A154" s="178"/>
      <c r="B154" s="178"/>
      <c r="C154" s="6"/>
      <c r="D154" s="179"/>
      <c r="E154" s="179"/>
      <c r="F154" s="180"/>
      <c r="G154" s="179"/>
      <c r="H154" s="179"/>
      <c r="I154" s="179"/>
      <c r="J154" s="179"/>
      <c r="K154" s="179"/>
      <c r="L154" s="181"/>
      <c r="M154" s="181"/>
      <c r="N154" s="181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</row>
    <row r="155" ht="15.75" customHeight="1">
      <c r="A155" s="178"/>
      <c r="B155" s="178"/>
      <c r="C155" s="6"/>
      <c r="D155" s="179"/>
      <c r="E155" s="179"/>
      <c r="F155" s="180"/>
      <c r="G155" s="179"/>
      <c r="H155" s="179"/>
      <c r="I155" s="179"/>
      <c r="J155" s="179"/>
      <c r="K155" s="179"/>
      <c r="L155" s="181"/>
      <c r="M155" s="181"/>
      <c r="N155" s="181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</row>
    <row r="156" ht="15.75" customHeight="1">
      <c r="A156" s="178"/>
      <c r="B156" s="178"/>
      <c r="C156" s="6"/>
      <c r="D156" s="179"/>
      <c r="E156" s="179"/>
      <c r="F156" s="180"/>
      <c r="G156" s="179"/>
      <c r="H156" s="179"/>
      <c r="I156" s="179"/>
      <c r="J156" s="179"/>
      <c r="K156" s="179"/>
      <c r="L156" s="181"/>
      <c r="M156" s="181"/>
      <c r="N156" s="181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</row>
    <row r="157" ht="15.75" customHeight="1">
      <c r="A157" s="178"/>
      <c r="B157" s="178"/>
      <c r="C157" s="6"/>
      <c r="D157" s="179"/>
      <c r="E157" s="179"/>
      <c r="F157" s="180"/>
      <c r="G157" s="179"/>
      <c r="H157" s="179"/>
      <c r="I157" s="179"/>
      <c r="J157" s="179"/>
      <c r="K157" s="179"/>
      <c r="L157" s="181"/>
      <c r="M157" s="181"/>
      <c r="N157" s="181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</row>
    <row r="158" ht="15.75" customHeight="1">
      <c r="A158" s="178"/>
      <c r="B158" s="178"/>
      <c r="C158" s="6"/>
      <c r="D158" s="179"/>
      <c r="E158" s="179"/>
      <c r="F158" s="180"/>
      <c r="G158" s="179"/>
      <c r="H158" s="179"/>
      <c r="I158" s="179"/>
      <c r="J158" s="179"/>
      <c r="K158" s="179"/>
      <c r="L158" s="181"/>
      <c r="M158" s="181"/>
      <c r="N158" s="181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</row>
    <row r="159" ht="15.75" customHeight="1">
      <c r="A159" s="178"/>
      <c r="B159" s="178"/>
      <c r="C159" s="6"/>
      <c r="D159" s="179"/>
      <c r="E159" s="179"/>
      <c r="F159" s="180"/>
      <c r="G159" s="179"/>
      <c r="H159" s="179"/>
      <c r="I159" s="179"/>
      <c r="J159" s="179"/>
      <c r="K159" s="179"/>
      <c r="L159" s="181"/>
      <c r="M159" s="181"/>
      <c r="N159" s="181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</row>
    <row r="160" ht="15.75" customHeight="1">
      <c r="A160" s="178"/>
      <c r="B160" s="178"/>
      <c r="C160" s="6"/>
      <c r="D160" s="179"/>
      <c r="E160" s="179"/>
      <c r="F160" s="180"/>
      <c r="G160" s="179"/>
      <c r="H160" s="179"/>
      <c r="I160" s="179"/>
      <c r="J160" s="179"/>
      <c r="K160" s="179"/>
      <c r="L160" s="181"/>
      <c r="M160" s="181"/>
      <c r="N160" s="181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</row>
    <row r="161" ht="15.75" customHeight="1">
      <c r="A161" s="178"/>
      <c r="B161" s="178"/>
      <c r="C161" s="6"/>
      <c r="D161" s="179"/>
      <c r="E161" s="179"/>
      <c r="F161" s="180"/>
      <c r="G161" s="179"/>
      <c r="H161" s="179"/>
      <c r="I161" s="179"/>
      <c r="J161" s="179"/>
      <c r="K161" s="179"/>
      <c r="L161" s="181"/>
      <c r="M161" s="181"/>
      <c r="N161" s="181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</row>
    <row r="162" ht="15.75" customHeight="1">
      <c r="A162" s="178"/>
      <c r="B162" s="178"/>
      <c r="C162" s="6"/>
      <c r="D162" s="179"/>
      <c r="E162" s="179"/>
      <c r="F162" s="180"/>
      <c r="G162" s="179"/>
      <c r="H162" s="179"/>
      <c r="I162" s="179"/>
      <c r="J162" s="179"/>
      <c r="K162" s="179"/>
      <c r="L162" s="181"/>
      <c r="M162" s="181"/>
      <c r="N162" s="181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</row>
    <row r="163" ht="15.75" customHeight="1">
      <c r="A163" s="178"/>
      <c r="B163" s="178"/>
      <c r="C163" s="6"/>
      <c r="D163" s="179"/>
      <c r="E163" s="179"/>
      <c r="F163" s="180"/>
      <c r="G163" s="179"/>
      <c r="H163" s="179"/>
      <c r="I163" s="179"/>
      <c r="J163" s="179"/>
      <c r="K163" s="179"/>
      <c r="L163" s="181"/>
      <c r="M163" s="181"/>
      <c r="N163" s="181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</row>
    <row r="164" ht="15.75" customHeight="1">
      <c r="A164" s="178"/>
      <c r="B164" s="178"/>
      <c r="C164" s="6"/>
      <c r="D164" s="179"/>
      <c r="E164" s="179"/>
      <c r="F164" s="180"/>
      <c r="G164" s="179"/>
      <c r="H164" s="179"/>
      <c r="I164" s="179"/>
      <c r="J164" s="179"/>
      <c r="K164" s="179"/>
      <c r="L164" s="181"/>
      <c r="M164" s="181"/>
      <c r="N164" s="181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</row>
    <row r="165" ht="15.75" customHeight="1">
      <c r="A165" s="178"/>
      <c r="B165" s="178"/>
      <c r="C165" s="6"/>
      <c r="D165" s="179"/>
      <c r="E165" s="179"/>
      <c r="F165" s="180"/>
      <c r="G165" s="179"/>
      <c r="H165" s="179"/>
      <c r="I165" s="179"/>
      <c r="J165" s="179"/>
      <c r="K165" s="179"/>
      <c r="L165" s="181"/>
      <c r="M165" s="181"/>
      <c r="N165" s="181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</row>
    <row r="166" ht="15.75" customHeight="1">
      <c r="A166" s="178"/>
      <c r="B166" s="178"/>
      <c r="C166" s="6"/>
      <c r="D166" s="179"/>
      <c r="E166" s="179"/>
      <c r="F166" s="180"/>
      <c r="G166" s="179"/>
      <c r="H166" s="179"/>
      <c r="I166" s="179"/>
      <c r="J166" s="179"/>
      <c r="K166" s="179"/>
      <c r="L166" s="181"/>
      <c r="M166" s="181"/>
      <c r="N166" s="181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</row>
    <row r="167" ht="15.75" customHeight="1">
      <c r="A167" s="178"/>
      <c r="B167" s="178"/>
      <c r="C167" s="6"/>
      <c r="D167" s="179"/>
      <c r="E167" s="179"/>
      <c r="F167" s="180"/>
      <c r="G167" s="179"/>
      <c r="H167" s="179"/>
      <c r="I167" s="179"/>
      <c r="J167" s="179"/>
      <c r="K167" s="179"/>
      <c r="L167" s="181"/>
      <c r="M167" s="181"/>
      <c r="N167" s="181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ht="15.75" customHeight="1">
      <c r="A168" s="178"/>
      <c r="B168" s="178"/>
      <c r="C168" s="6"/>
      <c r="D168" s="179"/>
      <c r="E168" s="179"/>
      <c r="F168" s="180"/>
      <c r="G168" s="179"/>
      <c r="H168" s="179"/>
      <c r="I168" s="179"/>
      <c r="J168" s="179"/>
      <c r="K168" s="179"/>
      <c r="L168" s="181"/>
      <c r="M168" s="181"/>
      <c r="N168" s="181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</row>
    <row r="169" ht="15.75" customHeight="1">
      <c r="A169" s="178"/>
      <c r="B169" s="178"/>
      <c r="C169" s="6"/>
      <c r="D169" s="179"/>
      <c r="E169" s="179"/>
      <c r="F169" s="180"/>
      <c r="G169" s="179"/>
      <c r="H169" s="179"/>
      <c r="I169" s="179"/>
      <c r="J169" s="179"/>
      <c r="K169" s="179"/>
      <c r="L169" s="181"/>
      <c r="M169" s="181"/>
      <c r="N169" s="181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</row>
    <row r="170" ht="15.75" customHeight="1">
      <c r="A170" s="178"/>
      <c r="B170" s="178"/>
      <c r="C170" s="6"/>
      <c r="D170" s="179"/>
      <c r="E170" s="179"/>
      <c r="F170" s="180"/>
      <c r="G170" s="179"/>
      <c r="H170" s="179"/>
      <c r="I170" s="179"/>
      <c r="J170" s="179"/>
      <c r="K170" s="179"/>
      <c r="L170" s="181"/>
      <c r="M170" s="181"/>
      <c r="N170" s="181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</row>
    <row r="171" ht="15.75" customHeight="1">
      <c r="A171" s="178"/>
      <c r="B171" s="178"/>
      <c r="C171" s="6"/>
      <c r="D171" s="179"/>
      <c r="E171" s="179"/>
      <c r="F171" s="180"/>
      <c r="G171" s="179"/>
      <c r="H171" s="179"/>
      <c r="I171" s="179"/>
      <c r="J171" s="179"/>
      <c r="K171" s="179"/>
      <c r="L171" s="181"/>
      <c r="M171" s="181"/>
      <c r="N171" s="181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</row>
    <row r="172" ht="15.75" customHeight="1">
      <c r="A172" s="178"/>
      <c r="B172" s="178"/>
      <c r="C172" s="6"/>
      <c r="D172" s="179"/>
      <c r="E172" s="179"/>
      <c r="F172" s="180"/>
      <c r="G172" s="179"/>
      <c r="H172" s="179"/>
      <c r="I172" s="179"/>
      <c r="J172" s="179"/>
      <c r="K172" s="179"/>
      <c r="L172" s="181"/>
      <c r="M172" s="181"/>
      <c r="N172" s="181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</row>
    <row r="173" ht="15.75" customHeight="1">
      <c r="A173" s="178"/>
      <c r="B173" s="178"/>
      <c r="C173" s="6"/>
      <c r="D173" s="179"/>
      <c r="E173" s="179"/>
      <c r="F173" s="180"/>
      <c r="G173" s="179"/>
      <c r="H173" s="179"/>
      <c r="I173" s="179"/>
      <c r="J173" s="179"/>
      <c r="K173" s="179"/>
      <c r="L173" s="181"/>
      <c r="M173" s="181"/>
      <c r="N173" s="181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</row>
    <row r="174" ht="15.75" customHeight="1">
      <c r="A174" s="178"/>
      <c r="B174" s="178"/>
      <c r="C174" s="6"/>
      <c r="D174" s="179"/>
      <c r="E174" s="179"/>
      <c r="F174" s="180"/>
      <c r="G174" s="179"/>
      <c r="H174" s="179"/>
      <c r="I174" s="179"/>
      <c r="J174" s="179"/>
      <c r="K174" s="179"/>
      <c r="L174" s="181"/>
      <c r="M174" s="181"/>
      <c r="N174" s="181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</row>
    <row r="175" ht="15.75" customHeight="1">
      <c r="A175" s="178"/>
      <c r="B175" s="178"/>
      <c r="C175" s="6"/>
      <c r="D175" s="179"/>
      <c r="E175" s="179"/>
      <c r="F175" s="180"/>
      <c r="G175" s="179"/>
      <c r="H175" s="179"/>
      <c r="I175" s="179"/>
      <c r="J175" s="179"/>
      <c r="K175" s="179"/>
      <c r="L175" s="181"/>
      <c r="M175" s="181"/>
      <c r="N175" s="181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</row>
    <row r="176" ht="15.75" customHeight="1">
      <c r="A176" s="178"/>
      <c r="B176" s="178"/>
      <c r="C176" s="6"/>
      <c r="D176" s="179"/>
      <c r="E176" s="179"/>
      <c r="F176" s="180"/>
      <c r="G176" s="179"/>
      <c r="H176" s="179"/>
      <c r="I176" s="179"/>
      <c r="J176" s="179"/>
      <c r="K176" s="179"/>
      <c r="L176" s="181"/>
      <c r="M176" s="181"/>
      <c r="N176" s="181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</row>
    <row r="177" ht="15.75" customHeight="1">
      <c r="A177" s="178"/>
      <c r="B177" s="178"/>
      <c r="C177" s="6"/>
      <c r="D177" s="179"/>
      <c r="E177" s="179"/>
      <c r="F177" s="180"/>
      <c r="G177" s="179"/>
      <c r="H177" s="179"/>
      <c r="I177" s="179"/>
      <c r="J177" s="179"/>
      <c r="K177" s="179"/>
      <c r="L177" s="181"/>
      <c r="M177" s="181"/>
      <c r="N177" s="181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</row>
    <row r="178" ht="15.75" customHeight="1">
      <c r="A178" s="178"/>
      <c r="B178" s="178"/>
      <c r="C178" s="6"/>
      <c r="D178" s="179"/>
      <c r="E178" s="179"/>
      <c r="F178" s="180"/>
      <c r="G178" s="179"/>
      <c r="H178" s="179"/>
      <c r="I178" s="179"/>
      <c r="J178" s="179"/>
      <c r="K178" s="179"/>
      <c r="L178" s="181"/>
      <c r="M178" s="181"/>
      <c r="N178" s="181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</row>
    <row r="179" ht="15.75" customHeight="1">
      <c r="A179" s="178"/>
      <c r="B179" s="178"/>
      <c r="C179" s="6"/>
      <c r="D179" s="179"/>
      <c r="E179" s="179"/>
      <c r="F179" s="180"/>
      <c r="G179" s="179"/>
      <c r="H179" s="179"/>
      <c r="I179" s="179"/>
      <c r="J179" s="179"/>
      <c r="K179" s="179"/>
      <c r="L179" s="181"/>
      <c r="M179" s="181"/>
      <c r="N179" s="181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</row>
    <row r="180" ht="15.75" customHeight="1">
      <c r="A180" s="178"/>
      <c r="B180" s="178"/>
      <c r="C180" s="6"/>
      <c r="D180" s="179"/>
      <c r="E180" s="179"/>
      <c r="F180" s="180"/>
      <c r="G180" s="179"/>
      <c r="H180" s="179"/>
      <c r="I180" s="179"/>
      <c r="J180" s="179"/>
      <c r="K180" s="179"/>
      <c r="L180" s="181"/>
      <c r="M180" s="181"/>
      <c r="N180" s="181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</row>
    <row r="181" ht="15.75" customHeight="1">
      <c r="A181" s="178"/>
      <c r="B181" s="178"/>
      <c r="C181" s="6"/>
      <c r="D181" s="179"/>
      <c r="E181" s="179"/>
      <c r="F181" s="180"/>
      <c r="G181" s="179"/>
      <c r="H181" s="179"/>
      <c r="I181" s="179"/>
      <c r="J181" s="179"/>
      <c r="K181" s="179"/>
      <c r="L181" s="181"/>
      <c r="M181" s="181"/>
      <c r="N181" s="181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</row>
    <row r="182" ht="15.75" customHeight="1">
      <c r="A182" s="178"/>
      <c r="B182" s="178"/>
      <c r="C182" s="6"/>
      <c r="D182" s="179"/>
      <c r="E182" s="179"/>
      <c r="F182" s="180"/>
      <c r="G182" s="179"/>
      <c r="H182" s="179"/>
      <c r="I182" s="179"/>
      <c r="J182" s="179"/>
      <c r="K182" s="179"/>
      <c r="L182" s="181"/>
      <c r="M182" s="181"/>
      <c r="N182" s="181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</row>
    <row r="183" ht="15.75" customHeight="1">
      <c r="A183" s="178"/>
      <c r="B183" s="178"/>
      <c r="C183" s="6"/>
      <c r="D183" s="179"/>
      <c r="E183" s="179"/>
      <c r="F183" s="180"/>
      <c r="G183" s="179"/>
      <c r="H183" s="179"/>
      <c r="I183" s="179"/>
      <c r="J183" s="179"/>
      <c r="K183" s="179"/>
      <c r="L183" s="181"/>
      <c r="M183" s="181"/>
      <c r="N183" s="181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</row>
    <row r="184" ht="15.75" customHeight="1">
      <c r="A184" s="178"/>
      <c r="B184" s="178"/>
      <c r="C184" s="6"/>
      <c r="D184" s="179"/>
      <c r="E184" s="179"/>
      <c r="F184" s="180"/>
      <c r="G184" s="179"/>
      <c r="H184" s="179"/>
      <c r="I184" s="179"/>
      <c r="J184" s="179"/>
      <c r="K184" s="179"/>
      <c r="L184" s="181"/>
      <c r="M184" s="181"/>
      <c r="N184" s="181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</row>
    <row r="185" ht="15.75" customHeight="1">
      <c r="A185" s="178"/>
      <c r="B185" s="178"/>
      <c r="C185" s="6"/>
      <c r="D185" s="179"/>
      <c r="E185" s="179"/>
      <c r="F185" s="180"/>
      <c r="G185" s="179"/>
      <c r="H185" s="179"/>
      <c r="I185" s="179"/>
      <c r="J185" s="179"/>
      <c r="K185" s="179"/>
      <c r="L185" s="181"/>
      <c r="M185" s="181"/>
      <c r="N185" s="181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</row>
    <row r="186" ht="15.75" customHeight="1">
      <c r="A186" s="178"/>
      <c r="B186" s="178"/>
      <c r="C186" s="6"/>
      <c r="D186" s="179"/>
      <c r="E186" s="179"/>
      <c r="F186" s="180"/>
      <c r="G186" s="179"/>
      <c r="H186" s="179"/>
      <c r="I186" s="179"/>
      <c r="J186" s="179"/>
      <c r="K186" s="179"/>
      <c r="L186" s="181"/>
      <c r="M186" s="181"/>
      <c r="N186" s="181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</row>
    <row r="187" ht="15.75" customHeight="1">
      <c r="A187" s="178"/>
      <c r="B187" s="178"/>
      <c r="C187" s="6"/>
      <c r="D187" s="179"/>
      <c r="E187" s="179"/>
      <c r="F187" s="180"/>
      <c r="G187" s="179"/>
      <c r="H187" s="179"/>
      <c r="I187" s="179"/>
      <c r="J187" s="179"/>
      <c r="K187" s="179"/>
      <c r="L187" s="181"/>
      <c r="M187" s="181"/>
      <c r="N187" s="181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</row>
    <row r="188" ht="15.75" customHeight="1">
      <c r="A188" s="178"/>
      <c r="B188" s="178"/>
      <c r="C188" s="6"/>
      <c r="D188" s="179"/>
      <c r="E188" s="179"/>
      <c r="F188" s="180"/>
      <c r="G188" s="179"/>
      <c r="H188" s="179"/>
      <c r="I188" s="179"/>
      <c r="J188" s="179"/>
      <c r="K188" s="179"/>
      <c r="L188" s="181"/>
      <c r="M188" s="181"/>
      <c r="N188" s="181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</row>
    <row r="189" ht="15.75" customHeight="1">
      <c r="A189" s="178"/>
      <c r="B189" s="178"/>
      <c r="C189" s="6"/>
      <c r="D189" s="179"/>
      <c r="E189" s="179"/>
      <c r="F189" s="180"/>
      <c r="G189" s="179"/>
      <c r="H189" s="179"/>
      <c r="I189" s="179"/>
      <c r="J189" s="179"/>
      <c r="K189" s="179"/>
      <c r="L189" s="181"/>
      <c r="M189" s="181"/>
      <c r="N189" s="181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</row>
    <row r="190" ht="15.75" customHeight="1">
      <c r="A190" s="178"/>
      <c r="B190" s="178"/>
      <c r="C190" s="6"/>
      <c r="D190" s="179"/>
      <c r="E190" s="179"/>
      <c r="F190" s="180"/>
      <c r="G190" s="179"/>
      <c r="H190" s="179"/>
      <c r="I190" s="179"/>
      <c r="J190" s="179"/>
      <c r="K190" s="179"/>
      <c r="L190" s="181"/>
      <c r="M190" s="181"/>
      <c r="N190" s="181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  <row r="191" ht="15.75" customHeight="1">
      <c r="A191" s="178"/>
      <c r="B191" s="178"/>
      <c r="C191" s="6"/>
      <c r="D191" s="179"/>
      <c r="E191" s="179"/>
      <c r="F191" s="180"/>
      <c r="G191" s="179"/>
      <c r="H191" s="179"/>
      <c r="I191" s="179"/>
      <c r="J191" s="179"/>
      <c r="K191" s="179"/>
      <c r="L191" s="181"/>
      <c r="M191" s="181"/>
      <c r="N191" s="181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</row>
    <row r="192" ht="15.75" customHeight="1">
      <c r="A192" s="178"/>
      <c r="B192" s="178"/>
      <c r="C192" s="6"/>
      <c r="D192" s="179"/>
      <c r="E192" s="179"/>
      <c r="F192" s="180"/>
      <c r="G192" s="179"/>
      <c r="H192" s="179"/>
      <c r="I192" s="179"/>
      <c r="J192" s="179"/>
      <c r="K192" s="179"/>
      <c r="L192" s="181"/>
      <c r="M192" s="181"/>
      <c r="N192" s="181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</row>
    <row r="193" ht="15.75" customHeight="1">
      <c r="A193" s="178"/>
      <c r="B193" s="178"/>
      <c r="C193" s="6"/>
      <c r="D193" s="179"/>
      <c r="E193" s="179"/>
      <c r="F193" s="180"/>
      <c r="G193" s="179"/>
      <c r="H193" s="179"/>
      <c r="I193" s="179"/>
      <c r="J193" s="179"/>
      <c r="K193" s="179"/>
      <c r="L193" s="181"/>
      <c r="M193" s="181"/>
      <c r="N193" s="181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</row>
    <row r="194" ht="15.75" customHeight="1">
      <c r="A194" s="178"/>
      <c r="B194" s="178"/>
      <c r="C194" s="6"/>
      <c r="D194" s="179"/>
      <c r="E194" s="179"/>
      <c r="F194" s="180"/>
      <c r="G194" s="179"/>
      <c r="H194" s="179"/>
      <c r="I194" s="179"/>
      <c r="J194" s="179"/>
      <c r="K194" s="179"/>
      <c r="L194" s="181"/>
      <c r="M194" s="181"/>
      <c r="N194" s="181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</row>
    <row r="195" ht="15.75" customHeight="1">
      <c r="A195" s="178"/>
      <c r="B195" s="178"/>
      <c r="C195" s="6"/>
      <c r="D195" s="179"/>
      <c r="E195" s="179"/>
      <c r="F195" s="180"/>
      <c r="G195" s="179"/>
      <c r="H195" s="179"/>
      <c r="I195" s="179"/>
      <c r="J195" s="179"/>
      <c r="K195" s="179"/>
      <c r="L195" s="181"/>
      <c r="M195" s="181"/>
      <c r="N195" s="181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</row>
    <row r="196" ht="15.75" customHeight="1">
      <c r="A196" s="178"/>
      <c r="B196" s="178"/>
      <c r="C196" s="6"/>
      <c r="D196" s="179"/>
      <c r="E196" s="179"/>
      <c r="F196" s="180"/>
      <c r="G196" s="179"/>
      <c r="H196" s="179"/>
      <c r="I196" s="179"/>
      <c r="J196" s="179"/>
      <c r="K196" s="179"/>
      <c r="L196" s="181"/>
      <c r="M196" s="181"/>
      <c r="N196" s="181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</row>
    <row r="197" ht="15.75" customHeight="1">
      <c r="A197" s="178"/>
      <c r="B197" s="178"/>
      <c r="C197" s="6"/>
      <c r="D197" s="179"/>
      <c r="E197" s="179"/>
      <c r="F197" s="180"/>
      <c r="G197" s="179"/>
      <c r="H197" s="179"/>
      <c r="I197" s="179"/>
      <c r="J197" s="179"/>
      <c r="K197" s="179"/>
      <c r="L197" s="181"/>
      <c r="M197" s="181"/>
      <c r="N197" s="181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</row>
    <row r="198" ht="15.75" customHeight="1">
      <c r="A198" s="178"/>
      <c r="B198" s="178"/>
      <c r="C198" s="6"/>
      <c r="D198" s="179"/>
      <c r="E198" s="179"/>
      <c r="F198" s="180"/>
      <c r="G198" s="179"/>
      <c r="H198" s="179"/>
      <c r="I198" s="179"/>
      <c r="J198" s="179"/>
      <c r="K198" s="179"/>
      <c r="L198" s="181"/>
      <c r="M198" s="181"/>
      <c r="N198" s="181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</row>
    <row r="199" ht="15.75" customHeight="1">
      <c r="A199" s="178"/>
      <c r="B199" s="178"/>
      <c r="C199" s="6"/>
      <c r="D199" s="179"/>
      <c r="E199" s="179"/>
      <c r="F199" s="180"/>
      <c r="G199" s="179"/>
      <c r="H199" s="179"/>
      <c r="I199" s="179"/>
      <c r="J199" s="179"/>
      <c r="K199" s="179"/>
      <c r="L199" s="181"/>
      <c r="M199" s="181"/>
      <c r="N199" s="181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</row>
    <row r="200" ht="15.75" customHeight="1">
      <c r="A200" s="178"/>
      <c r="B200" s="178"/>
      <c r="C200" s="6"/>
      <c r="D200" s="179"/>
      <c r="E200" s="179"/>
      <c r="F200" s="180"/>
      <c r="G200" s="179"/>
      <c r="H200" s="179"/>
      <c r="I200" s="179"/>
      <c r="J200" s="179"/>
      <c r="K200" s="179"/>
      <c r="L200" s="181"/>
      <c r="M200" s="181"/>
      <c r="N200" s="181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</row>
    <row r="201" ht="15.75" customHeight="1">
      <c r="A201" s="178"/>
      <c r="B201" s="178"/>
      <c r="C201" s="6"/>
      <c r="D201" s="179"/>
      <c r="E201" s="179"/>
      <c r="F201" s="180"/>
      <c r="G201" s="179"/>
      <c r="H201" s="179"/>
      <c r="I201" s="179"/>
      <c r="J201" s="179"/>
      <c r="K201" s="179"/>
      <c r="L201" s="181"/>
      <c r="M201" s="181"/>
      <c r="N201" s="181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</row>
    <row r="202" ht="15.75" customHeight="1">
      <c r="A202" s="178"/>
      <c r="B202" s="178"/>
      <c r="C202" s="6"/>
      <c r="D202" s="179"/>
      <c r="E202" s="179"/>
      <c r="F202" s="180"/>
      <c r="G202" s="179"/>
      <c r="H202" s="179"/>
      <c r="I202" s="179"/>
      <c r="J202" s="179"/>
      <c r="K202" s="179"/>
      <c r="L202" s="181"/>
      <c r="M202" s="181"/>
      <c r="N202" s="181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9"/>
      <c r="AK202" s="179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</row>
    <row r="203" ht="15.75" customHeight="1">
      <c r="A203" s="178"/>
      <c r="B203" s="178"/>
      <c r="C203" s="6"/>
      <c r="D203" s="179"/>
      <c r="E203" s="179"/>
      <c r="F203" s="180"/>
      <c r="G203" s="179"/>
      <c r="H203" s="179"/>
      <c r="I203" s="179"/>
      <c r="J203" s="179"/>
      <c r="K203" s="179"/>
      <c r="L203" s="181"/>
      <c r="M203" s="181"/>
      <c r="N203" s="181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</row>
    <row r="204" ht="15.75" customHeight="1">
      <c r="A204" s="178"/>
      <c r="B204" s="178"/>
      <c r="C204" s="6"/>
      <c r="D204" s="179"/>
      <c r="E204" s="179"/>
      <c r="F204" s="180"/>
      <c r="G204" s="179"/>
      <c r="H204" s="179"/>
      <c r="I204" s="179"/>
      <c r="J204" s="179"/>
      <c r="K204" s="179"/>
      <c r="L204" s="181"/>
      <c r="M204" s="181"/>
      <c r="N204" s="181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</row>
    <row r="205" ht="15.75" customHeight="1">
      <c r="A205" s="178"/>
      <c r="B205" s="178"/>
      <c r="C205" s="6"/>
      <c r="D205" s="179"/>
      <c r="E205" s="179"/>
      <c r="F205" s="180"/>
      <c r="G205" s="179"/>
      <c r="H205" s="179"/>
      <c r="I205" s="179"/>
      <c r="J205" s="179"/>
      <c r="K205" s="179"/>
      <c r="L205" s="181"/>
      <c r="M205" s="181"/>
      <c r="N205" s="181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</row>
    <row r="206" ht="15.75" customHeight="1">
      <c r="A206" s="178"/>
      <c r="B206" s="178"/>
      <c r="C206" s="6"/>
      <c r="D206" s="179"/>
      <c r="E206" s="179"/>
      <c r="F206" s="180"/>
      <c r="G206" s="179"/>
      <c r="H206" s="179"/>
      <c r="I206" s="179"/>
      <c r="J206" s="179"/>
      <c r="K206" s="179"/>
      <c r="L206" s="181"/>
      <c r="M206" s="181"/>
      <c r="N206" s="181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</row>
    <row r="207" ht="15.75" customHeight="1">
      <c r="A207" s="178"/>
      <c r="B207" s="178"/>
      <c r="C207" s="6"/>
      <c r="D207" s="179"/>
      <c r="E207" s="179"/>
      <c r="F207" s="180"/>
      <c r="G207" s="179"/>
      <c r="H207" s="179"/>
      <c r="I207" s="179"/>
      <c r="J207" s="179"/>
      <c r="K207" s="179"/>
      <c r="L207" s="181"/>
      <c r="M207" s="181"/>
      <c r="N207" s="181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</row>
    <row r="208" ht="15.75" customHeight="1">
      <c r="A208" s="178"/>
      <c r="B208" s="178"/>
      <c r="C208" s="6"/>
      <c r="D208" s="6"/>
      <c r="E208" s="6"/>
      <c r="F208" s="180"/>
      <c r="G208" s="179"/>
      <c r="H208" s="179"/>
      <c r="I208" s="179"/>
      <c r="J208" s="179"/>
      <c r="K208" s="179"/>
      <c r="L208" s="181"/>
      <c r="M208" s="181"/>
      <c r="N208" s="181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</row>
    <row r="209" ht="15.75" customHeight="1">
      <c r="A209" s="178"/>
      <c r="B209" s="178"/>
      <c r="C209" s="6"/>
      <c r="D209" s="6"/>
      <c r="E209" s="6"/>
      <c r="F209" s="180"/>
      <c r="G209" s="179"/>
      <c r="H209" s="179"/>
      <c r="I209" s="179"/>
      <c r="J209" s="179"/>
      <c r="K209" s="179"/>
      <c r="L209" s="181"/>
      <c r="M209" s="181"/>
      <c r="N209" s="181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</row>
    <row r="210" ht="15.75" customHeight="1">
      <c r="A210" s="178"/>
      <c r="B210" s="178"/>
      <c r="C210" s="6"/>
      <c r="D210" s="6"/>
      <c r="E210" s="6"/>
      <c r="F210" s="180"/>
      <c r="G210" s="179"/>
      <c r="H210" s="179"/>
      <c r="I210" s="179"/>
      <c r="J210" s="179"/>
      <c r="K210" s="179"/>
      <c r="L210" s="181"/>
      <c r="M210" s="181"/>
      <c r="N210" s="181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</row>
    <row r="211" ht="15.75" customHeight="1">
      <c r="A211" s="178"/>
      <c r="B211" s="178"/>
      <c r="C211" s="6"/>
      <c r="D211" s="6"/>
      <c r="E211" s="6"/>
      <c r="F211" s="180"/>
      <c r="G211" s="179"/>
      <c r="H211" s="179"/>
      <c r="I211" s="179"/>
      <c r="J211" s="179"/>
      <c r="K211" s="179"/>
      <c r="L211" s="181"/>
      <c r="M211" s="181"/>
      <c r="N211" s="181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</row>
    <row r="212" ht="15.75" customHeight="1">
      <c r="A212" s="178"/>
      <c r="B212" s="178"/>
      <c r="C212" s="6"/>
      <c r="D212" s="6"/>
      <c r="E212" s="6"/>
      <c r="F212" s="180"/>
      <c r="G212" s="179"/>
      <c r="H212" s="179"/>
      <c r="I212" s="179"/>
      <c r="J212" s="179"/>
      <c r="K212" s="179"/>
      <c r="L212" s="181"/>
      <c r="M212" s="181"/>
      <c r="N212" s="181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</row>
    <row r="213" ht="15.75" customHeight="1">
      <c r="A213" s="178"/>
      <c r="B213" s="178"/>
      <c r="C213" s="6"/>
      <c r="D213" s="6"/>
      <c r="E213" s="6"/>
      <c r="F213" s="180"/>
      <c r="G213" s="179"/>
      <c r="H213" s="179"/>
      <c r="I213" s="179"/>
      <c r="J213" s="179"/>
      <c r="K213" s="179"/>
      <c r="L213" s="181"/>
      <c r="M213" s="181"/>
      <c r="N213" s="181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</row>
    <row r="214" ht="15.75" customHeight="1">
      <c r="A214" s="178"/>
      <c r="B214" s="178"/>
      <c r="C214" s="6"/>
      <c r="D214" s="6"/>
      <c r="E214" s="6"/>
      <c r="F214" s="180"/>
      <c r="G214" s="179"/>
      <c r="H214" s="179"/>
      <c r="I214" s="179"/>
      <c r="J214" s="179"/>
      <c r="K214" s="179"/>
      <c r="L214" s="181"/>
      <c r="M214" s="181"/>
      <c r="N214" s="181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</row>
    <row r="215" ht="15.75" customHeight="1">
      <c r="A215" s="178"/>
      <c r="B215" s="178"/>
      <c r="C215" s="6"/>
      <c r="D215" s="6"/>
      <c r="E215" s="6"/>
      <c r="F215" s="180"/>
      <c r="G215" s="179"/>
      <c r="H215" s="179"/>
      <c r="I215" s="179"/>
      <c r="J215" s="179"/>
      <c r="K215" s="179"/>
      <c r="L215" s="181"/>
      <c r="M215" s="181"/>
      <c r="N215" s="181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</row>
    <row r="216" ht="15.75" customHeight="1">
      <c r="A216" s="178"/>
      <c r="B216" s="178"/>
      <c r="C216" s="6"/>
      <c r="D216" s="6"/>
      <c r="E216" s="6"/>
      <c r="F216" s="180"/>
      <c r="G216" s="179"/>
      <c r="H216" s="179"/>
      <c r="I216" s="179"/>
      <c r="J216" s="179"/>
      <c r="K216" s="179"/>
      <c r="L216" s="181"/>
      <c r="M216" s="181"/>
      <c r="N216" s="181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</row>
    <row r="217" ht="15.75" customHeight="1">
      <c r="A217" s="178"/>
      <c r="B217" s="178"/>
      <c r="C217" s="6"/>
      <c r="D217" s="6"/>
      <c r="E217" s="6"/>
      <c r="F217" s="180"/>
      <c r="G217" s="179"/>
      <c r="H217" s="179"/>
      <c r="I217" s="179"/>
      <c r="J217" s="179"/>
      <c r="K217" s="179"/>
      <c r="L217" s="181"/>
      <c r="M217" s="181"/>
      <c r="N217" s="181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</row>
    <row r="218" ht="15.75" customHeight="1">
      <c r="A218" s="178"/>
      <c r="B218" s="178"/>
      <c r="C218" s="6"/>
      <c r="D218" s="6"/>
      <c r="E218" s="6"/>
      <c r="F218" s="180"/>
      <c r="G218" s="179"/>
      <c r="H218" s="179"/>
      <c r="I218" s="179"/>
      <c r="J218" s="179"/>
      <c r="K218" s="179"/>
      <c r="L218" s="181"/>
      <c r="M218" s="181"/>
      <c r="N218" s="181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ht="15.75" customHeight="1">
      <c r="A219" s="178"/>
      <c r="B219" s="178"/>
      <c r="C219" s="6"/>
      <c r="D219" s="6"/>
      <c r="E219" s="6"/>
      <c r="F219" s="180"/>
      <c r="G219" s="179"/>
      <c r="H219" s="179"/>
      <c r="I219" s="179"/>
      <c r="J219" s="179"/>
      <c r="K219" s="179"/>
      <c r="L219" s="181"/>
      <c r="M219" s="181"/>
      <c r="N219" s="181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</row>
    <row r="220" ht="15.75" customHeight="1">
      <c r="A220" s="178"/>
      <c r="B220" s="178"/>
      <c r="C220" s="6"/>
      <c r="D220" s="6"/>
      <c r="E220" s="6"/>
      <c r="F220" s="180"/>
      <c r="G220" s="179"/>
      <c r="H220" s="179"/>
      <c r="I220" s="179"/>
      <c r="J220" s="179"/>
      <c r="K220" s="179"/>
      <c r="L220" s="181"/>
      <c r="M220" s="181"/>
      <c r="N220" s="181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  <c r="AK220" s="179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</row>
    <row r="221" ht="15.75" customHeight="1">
      <c r="A221" s="178"/>
      <c r="B221" s="178"/>
      <c r="C221" s="6"/>
      <c r="D221" s="6"/>
      <c r="E221" s="6"/>
      <c r="F221" s="180"/>
      <c r="G221" s="179"/>
      <c r="H221" s="179"/>
      <c r="I221" s="179"/>
      <c r="J221" s="179"/>
      <c r="K221" s="179"/>
      <c r="L221" s="181"/>
      <c r="M221" s="181"/>
      <c r="N221" s="181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</row>
    <row r="222" ht="15.75" customHeight="1">
      <c r="A222" s="178"/>
      <c r="B222" s="178"/>
      <c r="C222" s="6"/>
      <c r="D222" s="6"/>
      <c r="E222" s="6"/>
      <c r="F222" s="180"/>
      <c r="G222" s="179"/>
      <c r="H222" s="179"/>
      <c r="I222" s="179"/>
      <c r="J222" s="179"/>
      <c r="K222" s="179"/>
      <c r="L222" s="181"/>
      <c r="M222" s="181"/>
      <c r="N222" s="181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</row>
    <row r="223" ht="15.75" customHeight="1">
      <c r="A223" s="178"/>
      <c r="B223" s="178"/>
      <c r="C223" s="6"/>
      <c r="D223" s="6"/>
      <c r="E223" s="6"/>
      <c r="F223" s="180"/>
      <c r="G223" s="179"/>
      <c r="H223" s="179"/>
      <c r="I223" s="179"/>
      <c r="J223" s="179"/>
      <c r="K223" s="179"/>
      <c r="L223" s="181"/>
      <c r="M223" s="181"/>
      <c r="N223" s="181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</row>
    <row r="224" ht="15.75" customHeight="1">
      <c r="A224" s="178"/>
      <c r="B224" s="178"/>
      <c r="C224" s="6"/>
      <c r="D224" s="6"/>
      <c r="E224" s="6"/>
      <c r="F224" s="180"/>
      <c r="G224" s="179"/>
      <c r="H224" s="179"/>
      <c r="I224" s="179"/>
      <c r="J224" s="179"/>
      <c r="K224" s="179"/>
      <c r="L224" s="181"/>
      <c r="M224" s="181"/>
      <c r="N224" s="181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ht="15.75" customHeight="1">
      <c r="A225" s="178"/>
      <c r="B225" s="178"/>
      <c r="C225" s="6"/>
      <c r="D225" s="6"/>
      <c r="E225" s="6"/>
      <c r="F225" s="180"/>
      <c r="G225" s="179"/>
      <c r="H225" s="179"/>
      <c r="I225" s="179"/>
      <c r="J225" s="179"/>
      <c r="K225" s="179"/>
      <c r="L225" s="181"/>
      <c r="M225" s="181"/>
      <c r="N225" s="181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</row>
    <row r="226" ht="15.75" customHeight="1">
      <c r="A226" s="178"/>
      <c r="B226" s="178"/>
      <c r="C226" s="6"/>
      <c r="D226" s="6"/>
      <c r="E226" s="6"/>
      <c r="F226" s="180"/>
      <c r="G226" s="179"/>
      <c r="H226" s="179"/>
      <c r="I226" s="179"/>
      <c r="J226" s="179"/>
      <c r="K226" s="179"/>
      <c r="L226" s="181"/>
      <c r="M226" s="181"/>
      <c r="N226" s="181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ht="15.75" customHeight="1">
      <c r="A227" s="178"/>
      <c r="B227" s="178"/>
      <c r="C227" s="6"/>
      <c r="D227" s="6"/>
      <c r="E227" s="6"/>
      <c r="F227" s="180"/>
      <c r="G227" s="179"/>
      <c r="H227" s="179"/>
      <c r="I227" s="179"/>
      <c r="J227" s="179"/>
      <c r="K227" s="179"/>
      <c r="L227" s="181"/>
      <c r="M227" s="181"/>
      <c r="N227" s="181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</row>
    <row r="228" ht="15.75" customHeight="1">
      <c r="A228" s="178"/>
      <c r="B228" s="178"/>
      <c r="C228" s="6"/>
      <c r="D228" s="6"/>
      <c r="E228" s="6"/>
      <c r="F228" s="180"/>
      <c r="G228" s="179"/>
      <c r="H228" s="179"/>
      <c r="I228" s="179"/>
      <c r="J228" s="179"/>
      <c r="K228" s="179"/>
      <c r="L228" s="181"/>
      <c r="M228" s="181"/>
      <c r="N228" s="181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ht="15.75" customHeight="1">
      <c r="A229" s="178"/>
      <c r="B229" s="178"/>
      <c r="C229" s="6"/>
      <c r="D229" s="6"/>
      <c r="E229" s="6"/>
      <c r="F229" s="180"/>
      <c r="G229" s="179"/>
      <c r="H229" s="179"/>
      <c r="I229" s="179"/>
      <c r="J229" s="179"/>
      <c r="K229" s="179"/>
      <c r="L229" s="181"/>
      <c r="M229" s="181"/>
      <c r="N229" s="181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ht="15.75" customHeight="1">
      <c r="A230" s="178"/>
      <c r="B230" s="178"/>
      <c r="C230" s="6"/>
      <c r="D230" s="6"/>
      <c r="E230" s="6"/>
      <c r="F230" s="180"/>
      <c r="G230" s="179"/>
      <c r="H230" s="179"/>
      <c r="I230" s="179"/>
      <c r="J230" s="179"/>
      <c r="K230" s="179"/>
      <c r="L230" s="181"/>
      <c r="M230" s="181"/>
      <c r="N230" s="181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ht="15.75" customHeight="1">
      <c r="A231" s="178"/>
      <c r="B231" s="178"/>
      <c r="C231" s="6"/>
      <c r="D231" s="6"/>
      <c r="E231" s="6"/>
      <c r="F231" s="180"/>
      <c r="G231" s="179"/>
      <c r="H231" s="179"/>
      <c r="I231" s="179"/>
      <c r="J231" s="179"/>
      <c r="K231" s="179"/>
      <c r="L231" s="181"/>
      <c r="M231" s="181"/>
      <c r="N231" s="181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ht="15.75" customHeight="1">
      <c r="A232" s="178"/>
      <c r="B232" s="178"/>
      <c r="C232" s="6"/>
      <c r="D232" s="6"/>
      <c r="E232" s="6"/>
      <c r="F232" s="180"/>
      <c r="G232" s="179"/>
      <c r="H232" s="179"/>
      <c r="I232" s="179"/>
      <c r="J232" s="179"/>
      <c r="K232" s="179"/>
      <c r="L232" s="181"/>
      <c r="M232" s="181"/>
      <c r="N232" s="181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ht="15.75" customHeight="1">
      <c r="A233" s="178"/>
      <c r="B233" s="178"/>
      <c r="C233" s="6"/>
      <c r="D233" s="6"/>
      <c r="E233" s="6"/>
      <c r="F233" s="180"/>
      <c r="G233" s="179"/>
      <c r="H233" s="179"/>
      <c r="I233" s="179"/>
      <c r="J233" s="179"/>
      <c r="K233" s="179"/>
      <c r="L233" s="181"/>
      <c r="M233" s="181"/>
      <c r="N233" s="181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</row>
    <row r="234" ht="15.75" customHeight="1">
      <c r="A234" s="178"/>
      <c r="B234" s="178"/>
      <c r="C234" s="6"/>
      <c r="D234" s="6"/>
      <c r="E234" s="6"/>
      <c r="F234" s="180"/>
      <c r="G234" s="179"/>
      <c r="H234" s="179"/>
      <c r="I234" s="179"/>
      <c r="J234" s="179"/>
      <c r="K234" s="179"/>
      <c r="L234" s="181"/>
      <c r="M234" s="181"/>
      <c r="N234" s="181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ht="15.75" customHeight="1">
      <c r="A235" s="178"/>
      <c r="B235" s="178"/>
      <c r="C235" s="6"/>
      <c r="D235" s="6"/>
      <c r="E235" s="6"/>
      <c r="F235" s="180"/>
      <c r="G235" s="179"/>
      <c r="H235" s="179"/>
      <c r="I235" s="179"/>
      <c r="J235" s="179"/>
      <c r="K235" s="179"/>
      <c r="L235" s="181"/>
      <c r="M235" s="181"/>
      <c r="N235" s="181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</row>
    <row r="236" ht="15.75" customHeight="1">
      <c r="A236" s="178"/>
      <c r="B236" s="178"/>
      <c r="C236" s="6"/>
      <c r="D236" s="6"/>
      <c r="E236" s="6"/>
      <c r="F236" s="180"/>
      <c r="G236" s="179"/>
      <c r="H236" s="179"/>
      <c r="I236" s="179"/>
      <c r="J236" s="179"/>
      <c r="K236" s="179"/>
      <c r="L236" s="181"/>
      <c r="M236" s="181"/>
      <c r="N236" s="181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ht="15.75" customHeight="1">
      <c r="A237" s="178"/>
      <c r="B237" s="178"/>
      <c r="C237" s="6"/>
      <c r="D237" s="6"/>
      <c r="E237" s="6"/>
      <c r="F237" s="180"/>
      <c r="G237" s="179"/>
      <c r="H237" s="179"/>
      <c r="I237" s="179"/>
      <c r="J237" s="179"/>
      <c r="K237" s="179"/>
      <c r="L237" s="181"/>
      <c r="M237" s="181"/>
      <c r="N237" s="181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9"/>
      <c r="AK237" s="179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ht="15.75" customHeight="1">
      <c r="A238" s="178"/>
      <c r="B238" s="178"/>
      <c r="C238" s="6"/>
      <c r="D238" s="6"/>
      <c r="E238" s="6"/>
      <c r="F238" s="180"/>
      <c r="G238" s="179"/>
      <c r="H238" s="179"/>
      <c r="I238" s="179"/>
      <c r="J238" s="179"/>
      <c r="K238" s="179"/>
      <c r="L238" s="181"/>
      <c r="M238" s="181"/>
      <c r="N238" s="181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79"/>
      <c r="AK238" s="179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</row>
    <row r="239" ht="15.75" customHeight="1">
      <c r="A239" s="178"/>
      <c r="B239" s="178"/>
      <c r="C239" s="6"/>
      <c r="D239" s="6"/>
      <c r="E239" s="6"/>
      <c r="F239" s="180"/>
      <c r="G239" s="179"/>
      <c r="H239" s="179"/>
      <c r="I239" s="179"/>
      <c r="J239" s="179"/>
      <c r="K239" s="179"/>
      <c r="L239" s="181"/>
      <c r="M239" s="181"/>
      <c r="N239" s="181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ht="15.75" customHeight="1">
      <c r="A240" s="178"/>
      <c r="B240" s="178"/>
      <c r="C240" s="6"/>
      <c r="D240" s="6"/>
      <c r="E240" s="6"/>
      <c r="F240" s="180"/>
      <c r="G240" s="179"/>
      <c r="H240" s="179"/>
      <c r="I240" s="179"/>
      <c r="J240" s="179"/>
      <c r="K240" s="179"/>
      <c r="L240" s="181"/>
      <c r="M240" s="181"/>
      <c r="N240" s="181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</row>
    <row r="241" ht="15.75" customHeight="1">
      <c r="A241" s="178"/>
      <c r="B241" s="178"/>
      <c r="C241" s="6"/>
      <c r="D241" s="6"/>
      <c r="E241" s="6"/>
      <c r="F241" s="180"/>
      <c r="G241" s="179"/>
      <c r="H241" s="179"/>
      <c r="I241" s="179"/>
      <c r="J241" s="179"/>
      <c r="K241" s="179"/>
      <c r="L241" s="181"/>
      <c r="M241" s="181"/>
      <c r="N241" s="181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ht="15.75" customHeight="1">
      <c r="A242" s="178"/>
      <c r="B242" s="178"/>
      <c r="C242" s="6"/>
      <c r="D242" s="6"/>
      <c r="E242" s="6"/>
      <c r="F242" s="180"/>
      <c r="G242" s="179"/>
      <c r="H242" s="179"/>
      <c r="I242" s="179"/>
      <c r="J242" s="179"/>
      <c r="K242" s="179"/>
      <c r="L242" s="181"/>
      <c r="M242" s="181"/>
      <c r="N242" s="181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</row>
    <row r="243" ht="15.75" customHeight="1">
      <c r="A243" s="178"/>
      <c r="B243" s="178"/>
      <c r="C243" s="6"/>
      <c r="D243" s="6"/>
      <c r="E243" s="6"/>
      <c r="F243" s="180"/>
      <c r="G243" s="179"/>
      <c r="H243" s="179"/>
      <c r="I243" s="179"/>
      <c r="J243" s="179"/>
      <c r="K243" s="179"/>
      <c r="L243" s="181"/>
      <c r="M243" s="181"/>
      <c r="N243" s="181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</row>
    <row r="244" ht="15.75" customHeight="1">
      <c r="A244" s="178"/>
      <c r="B244" s="178"/>
      <c r="C244" s="6"/>
      <c r="D244" s="6"/>
      <c r="E244" s="6"/>
      <c r="F244" s="180"/>
      <c r="G244" s="179"/>
      <c r="H244" s="179"/>
      <c r="I244" s="179"/>
      <c r="J244" s="179"/>
      <c r="K244" s="179"/>
      <c r="L244" s="181"/>
      <c r="M244" s="181"/>
      <c r="N244" s="181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</row>
    <row r="245" ht="15.75" customHeight="1">
      <c r="A245" s="178"/>
      <c r="B245" s="178"/>
      <c r="C245" s="6"/>
      <c r="D245" s="6"/>
      <c r="E245" s="6"/>
      <c r="F245" s="180"/>
      <c r="G245" s="179"/>
      <c r="H245" s="179"/>
      <c r="I245" s="179"/>
      <c r="J245" s="179"/>
      <c r="K245" s="179"/>
      <c r="L245" s="181"/>
      <c r="M245" s="181"/>
      <c r="N245" s="181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</row>
    <row r="246" ht="15.75" customHeight="1">
      <c r="A246" s="178"/>
      <c r="B246" s="178"/>
      <c r="C246" s="6"/>
      <c r="D246" s="6"/>
      <c r="E246" s="6"/>
      <c r="F246" s="180"/>
      <c r="G246" s="179"/>
      <c r="H246" s="179"/>
      <c r="I246" s="179"/>
      <c r="J246" s="179"/>
      <c r="K246" s="179"/>
      <c r="L246" s="181"/>
      <c r="M246" s="181"/>
      <c r="N246" s="181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</row>
    <row r="247" ht="15.75" customHeight="1">
      <c r="A247" s="178"/>
      <c r="B247" s="178"/>
      <c r="C247" s="6"/>
      <c r="D247" s="6"/>
      <c r="E247" s="6"/>
      <c r="F247" s="180"/>
      <c r="G247" s="179"/>
      <c r="H247" s="179"/>
      <c r="I247" s="179"/>
      <c r="J247" s="179"/>
      <c r="K247" s="179"/>
      <c r="L247" s="181"/>
      <c r="M247" s="181"/>
      <c r="N247" s="181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</row>
    <row r="248" ht="15.75" customHeight="1">
      <c r="A248" s="178"/>
      <c r="B248" s="178"/>
      <c r="C248" s="6"/>
      <c r="D248" s="6"/>
      <c r="E248" s="6"/>
      <c r="F248" s="180"/>
      <c r="G248" s="179"/>
      <c r="H248" s="179"/>
      <c r="I248" s="179"/>
      <c r="J248" s="179"/>
      <c r="K248" s="179"/>
      <c r="L248" s="181"/>
      <c r="M248" s="181"/>
      <c r="N248" s="181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</row>
    <row r="249" ht="15.75" customHeight="1">
      <c r="A249" s="178"/>
      <c r="B249" s="178"/>
      <c r="C249" s="6"/>
      <c r="D249" s="6"/>
      <c r="E249" s="6"/>
      <c r="F249" s="180"/>
      <c r="G249" s="179"/>
      <c r="H249" s="179"/>
      <c r="I249" s="179"/>
      <c r="J249" s="179"/>
      <c r="K249" s="179"/>
      <c r="L249" s="181"/>
      <c r="M249" s="181"/>
      <c r="N249" s="181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</row>
    <row r="250" ht="15.75" customHeight="1">
      <c r="A250" s="178"/>
      <c r="B250" s="178"/>
      <c r="C250" s="6"/>
      <c r="D250" s="6"/>
      <c r="E250" s="6"/>
      <c r="F250" s="180"/>
      <c r="G250" s="179"/>
      <c r="H250" s="179"/>
      <c r="I250" s="179"/>
      <c r="J250" s="179"/>
      <c r="K250" s="179"/>
      <c r="L250" s="181"/>
      <c r="M250" s="181"/>
      <c r="N250" s="181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</row>
    <row r="251" ht="15.75" customHeight="1">
      <c r="A251" s="178"/>
      <c r="B251" s="178"/>
      <c r="C251" s="6"/>
      <c r="D251" s="6"/>
      <c r="E251" s="6"/>
      <c r="F251" s="180"/>
      <c r="G251" s="179"/>
      <c r="H251" s="179"/>
      <c r="I251" s="179"/>
      <c r="J251" s="179"/>
      <c r="K251" s="179"/>
      <c r="L251" s="181"/>
      <c r="M251" s="181"/>
      <c r="N251" s="181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79"/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</row>
    <row r="252" ht="15.75" customHeight="1">
      <c r="A252" s="178"/>
      <c r="B252" s="178"/>
      <c r="C252" s="6"/>
      <c r="D252" s="6"/>
      <c r="E252" s="6"/>
      <c r="F252" s="180"/>
      <c r="G252" s="179"/>
      <c r="H252" s="179"/>
      <c r="I252" s="179"/>
      <c r="J252" s="179"/>
      <c r="K252" s="179"/>
      <c r="L252" s="181"/>
      <c r="M252" s="181"/>
      <c r="N252" s="181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79"/>
      <c r="AC252" s="179"/>
      <c r="AD252" s="179"/>
      <c r="AE252" s="179"/>
      <c r="AF252" s="179"/>
      <c r="AG252" s="179"/>
      <c r="AH252" s="179"/>
      <c r="AI252" s="179"/>
      <c r="AJ252" s="179"/>
      <c r="AK252" s="179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</row>
    <row r="253" ht="15.75" customHeight="1">
      <c r="A253" s="178"/>
      <c r="B253" s="178"/>
      <c r="C253" s="6"/>
      <c r="D253" s="6"/>
      <c r="E253" s="6"/>
      <c r="F253" s="180"/>
      <c r="G253" s="179"/>
      <c r="H253" s="179"/>
      <c r="I253" s="179"/>
      <c r="J253" s="179"/>
      <c r="K253" s="179"/>
      <c r="L253" s="181"/>
      <c r="M253" s="181"/>
      <c r="N253" s="181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</row>
    <row r="254" ht="15.75" customHeight="1">
      <c r="A254" s="178"/>
      <c r="B254" s="178"/>
      <c r="C254" s="6"/>
      <c r="D254" s="6"/>
      <c r="E254" s="6"/>
      <c r="F254" s="180"/>
      <c r="G254" s="179"/>
      <c r="H254" s="179"/>
      <c r="I254" s="179"/>
      <c r="J254" s="179"/>
      <c r="K254" s="179"/>
      <c r="L254" s="181"/>
      <c r="M254" s="181"/>
      <c r="N254" s="181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</row>
    <row r="255" ht="15.75" customHeight="1">
      <c r="A255" s="178"/>
      <c r="B255" s="178"/>
      <c r="C255" s="6"/>
      <c r="D255" s="6"/>
      <c r="E255" s="6"/>
      <c r="F255" s="180"/>
      <c r="G255" s="179"/>
      <c r="H255" s="179"/>
      <c r="I255" s="179"/>
      <c r="J255" s="179"/>
      <c r="K255" s="179"/>
      <c r="L255" s="181"/>
      <c r="M255" s="181"/>
      <c r="N255" s="181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79"/>
      <c r="AE255" s="179"/>
      <c r="AF255" s="179"/>
      <c r="AG255" s="179"/>
      <c r="AH255" s="179"/>
      <c r="AI255" s="179"/>
      <c r="AJ255" s="179"/>
      <c r="AK255" s="179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</row>
    <row r="256" ht="15.75" customHeight="1">
      <c r="A256" s="178"/>
      <c r="B256" s="178"/>
      <c r="C256" s="6"/>
      <c r="D256" s="6"/>
      <c r="E256" s="6"/>
      <c r="F256" s="180"/>
      <c r="G256" s="179"/>
      <c r="H256" s="179"/>
      <c r="I256" s="179"/>
      <c r="J256" s="179"/>
      <c r="K256" s="179"/>
      <c r="L256" s="181"/>
      <c r="M256" s="181"/>
      <c r="N256" s="181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79"/>
      <c r="AC256" s="179"/>
      <c r="AD256" s="179"/>
      <c r="AE256" s="179"/>
      <c r="AF256" s="179"/>
      <c r="AG256" s="179"/>
      <c r="AH256" s="179"/>
      <c r="AI256" s="179"/>
      <c r="AJ256" s="179"/>
      <c r="AK256" s="179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</row>
    <row r="257" ht="15.75" customHeight="1">
      <c r="A257" s="178"/>
      <c r="B257" s="178"/>
      <c r="C257" s="6"/>
      <c r="D257" s="6"/>
      <c r="E257" s="6"/>
      <c r="F257" s="180"/>
      <c r="G257" s="179"/>
      <c r="H257" s="179"/>
      <c r="I257" s="179"/>
      <c r="J257" s="179"/>
      <c r="K257" s="179"/>
      <c r="L257" s="181"/>
      <c r="M257" s="181"/>
      <c r="N257" s="181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  <c r="AK257" s="179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</row>
    <row r="258" ht="15.75" customHeight="1">
      <c r="A258" s="178"/>
      <c r="B258" s="178"/>
      <c r="C258" s="6"/>
      <c r="D258" s="6"/>
      <c r="E258" s="6"/>
      <c r="F258" s="180"/>
      <c r="G258" s="179"/>
      <c r="H258" s="179"/>
      <c r="I258" s="179"/>
      <c r="J258" s="179"/>
      <c r="K258" s="179"/>
      <c r="L258" s="181"/>
      <c r="M258" s="181"/>
      <c r="N258" s="181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</row>
    <row r="259" ht="15.75" customHeight="1">
      <c r="A259" s="178"/>
      <c r="B259" s="178"/>
      <c r="C259" s="6"/>
      <c r="D259" s="6"/>
      <c r="E259" s="6"/>
      <c r="F259" s="180"/>
      <c r="G259" s="179"/>
      <c r="H259" s="179"/>
      <c r="I259" s="179"/>
      <c r="J259" s="179"/>
      <c r="K259" s="179"/>
      <c r="L259" s="181"/>
      <c r="M259" s="181"/>
      <c r="N259" s="181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</row>
    <row r="260" ht="15.75" customHeight="1">
      <c r="A260" s="178"/>
      <c r="B260" s="178"/>
      <c r="C260" s="6"/>
      <c r="D260" s="6"/>
      <c r="E260" s="6"/>
      <c r="F260" s="180"/>
      <c r="G260" s="179"/>
      <c r="H260" s="179"/>
      <c r="I260" s="179"/>
      <c r="J260" s="179"/>
      <c r="K260" s="179"/>
      <c r="L260" s="181"/>
      <c r="M260" s="181"/>
      <c r="N260" s="181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</row>
    <row r="261" ht="15.75" customHeight="1">
      <c r="A261" s="178"/>
      <c r="B261" s="178"/>
      <c r="C261" s="6"/>
      <c r="D261" s="6"/>
      <c r="E261" s="6"/>
      <c r="F261" s="180"/>
      <c r="G261" s="179"/>
      <c r="H261" s="179"/>
      <c r="I261" s="179"/>
      <c r="J261" s="179"/>
      <c r="K261" s="179"/>
      <c r="L261" s="181"/>
      <c r="M261" s="181"/>
      <c r="N261" s="181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</row>
    <row r="262" ht="15.75" customHeight="1">
      <c r="A262" s="178"/>
      <c r="B262" s="178"/>
      <c r="C262" s="6"/>
      <c r="D262" s="6"/>
      <c r="E262" s="6"/>
      <c r="F262" s="180"/>
      <c r="G262" s="179"/>
      <c r="H262" s="179"/>
      <c r="I262" s="179"/>
      <c r="J262" s="179"/>
      <c r="K262" s="179"/>
      <c r="L262" s="181"/>
      <c r="M262" s="181"/>
      <c r="N262" s="181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</row>
    <row r="263" ht="15.75" customHeight="1">
      <c r="A263" s="178"/>
      <c r="B263" s="178"/>
      <c r="C263" s="6"/>
      <c r="D263" s="6"/>
      <c r="E263" s="6"/>
      <c r="F263" s="180"/>
      <c r="G263" s="179"/>
      <c r="H263" s="179"/>
      <c r="I263" s="179"/>
      <c r="J263" s="179"/>
      <c r="K263" s="179"/>
      <c r="L263" s="181"/>
      <c r="M263" s="181"/>
      <c r="N263" s="181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</row>
    <row r="264" ht="15.75" customHeight="1">
      <c r="A264" s="178"/>
      <c r="B264" s="178"/>
      <c r="C264" s="6"/>
      <c r="D264" s="6"/>
      <c r="E264" s="6"/>
      <c r="F264" s="180"/>
      <c r="G264" s="179"/>
      <c r="H264" s="179"/>
      <c r="I264" s="179"/>
      <c r="J264" s="179"/>
      <c r="K264" s="179"/>
      <c r="L264" s="181"/>
      <c r="M264" s="181"/>
      <c r="N264" s="181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</row>
    <row r="265" ht="15.75" customHeight="1">
      <c r="A265" s="178"/>
      <c r="B265" s="178"/>
      <c r="C265" s="6"/>
      <c r="D265" s="6"/>
      <c r="E265" s="6"/>
      <c r="F265" s="180"/>
      <c r="G265" s="179"/>
      <c r="H265" s="179"/>
      <c r="I265" s="179"/>
      <c r="J265" s="179"/>
      <c r="K265" s="179"/>
      <c r="L265" s="181"/>
      <c r="M265" s="181"/>
      <c r="N265" s="181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</row>
    <row r="266" ht="15.75" customHeight="1">
      <c r="A266" s="178"/>
      <c r="B266" s="178"/>
      <c r="C266" s="6"/>
      <c r="D266" s="6"/>
      <c r="E266" s="6"/>
      <c r="F266" s="180"/>
      <c r="G266" s="179"/>
      <c r="H266" s="179"/>
      <c r="I266" s="179"/>
      <c r="J266" s="179"/>
      <c r="K266" s="179"/>
      <c r="L266" s="181"/>
      <c r="M266" s="181"/>
      <c r="N266" s="181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</row>
    <row r="267" ht="15.75" customHeight="1">
      <c r="A267" s="178"/>
      <c r="B267" s="178"/>
      <c r="C267" s="6"/>
      <c r="D267" s="6"/>
      <c r="E267" s="6"/>
      <c r="F267" s="180"/>
      <c r="G267" s="179"/>
      <c r="H267" s="179"/>
      <c r="I267" s="179"/>
      <c r="J267" s="179"/>
      <c r="K267" s="179"/>
      <c r="L267" s="181"/>
      <c r="M267" s="181"/>
      <c r="N267" s="181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79"/>
      <c r="AC267" s="179"/>
      <c r="AD267" s="179"/>
      <c r="AE267" s="179"/>
      <c r="AF267" s="179"/>
      <c r="AG267" s="179"/>
      <c r="AH267" s="179"/>
      <c r="AI267" s="179"/>
      <c r="AJ267" s="179"/>
      <c r="AK267" s="179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</row>
    <row r="268" ht="15.75" customHeight="1">
      <c r="A268" s="178"/>
      <c r="B268" s="178"/>
      <c r="C268" s="6"/>
      <c r="D268" s="6"/>
      <c r="E268" s="6"/>
      <c r="F268" s="180"/>
      <c r="G268" s="179"/>
      <c r="H268" s="179"/>
      <c r="I268" s="179"/>
      <c r="J268" s="179"/>
      <c r="K268" s="179"/>
      <c r="L268" s="181"/>
      <c r="M268" s="181"/>
      <c r="N268" s="181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79"/>
      <c r="AC268" s="179"/>
      <c r="AD268" s="179"/>
      <c r="AE268" s="179"/>
      <c r="AF268" s="179"/>
      <c r="AG268" s="179"/>
      <c r="AH268" s="179"/>
      <c r="AI268" s="179"/>
      <c r="AJ268" s="179"/>
      <c r="AK268" s="179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</row>
    <row r="269" ht="15.75" customHeight="1">
      <c r="A269" s="178"/>
      <c r="B269" s="178"/>
      <c r="C269" s="6"/>
      <c r="D269" s="6"/>
      <c r="E269" s="6"/>
      <c r="F269" s="180"/>
      <c r="G269" s="179"/>
      <c r="H269" s="179"/>
      <c r="I269" s="179"/>
      <c r="J269" s="179"/>
      <c r="K269" s="179"/>
      <c r="L269" s="181"/>
      <c r="M269" s="181"/>
      <c r="N269" s="181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</row>
    <row r="270" ht="15.75" customHeight="1">
      <c r="A270" s="178"/>
      <c r="B270" s="178"/>
      <c r="C270" s="6"/>
      <c r="D270" s="6"/>
      <c r="E270" s="6"/>
      <c r="F270" s="180"/>
      <c r="G270" s="179"/>
      <c r="H270" s="179"/>
      <c r="I270" s="179"/>
      <c r="J270" s="179"/>
      <c r="K270" s="179"/>
      <c r="L270" s="181"/>
      <c r="M270" s="181"/>
      <c r="N270" s="181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79"/>
      <c r="AE270" s="179"/>
      <c r="AF270" s="179"/>
      <c r="AG270" s="179"/>
      <c r="AH270" s="179"/>
      <c r="AI270" s="179"/>
      <c r="AJ270" s="179"/>
      <c r="AK270" s="179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</row>
    <row r="271" ht="15.75" customHeight="1">
      <c r="A271" s="178"/>
      <c r="B271" s="178"/>
      <c r="C271" s="6"/>
      <c r="D271" s="6"/>
      <c r="E271" s="6"/>
      <c r="F271" s="180"/>
      <c r="G271" s="179"/>
      <c r="H271" s="179"/>
      <c r="I271" s="179"/>
      <c r="J271" s="179"/>
      <c r="K271" s="179"/>
      <c r="L271" s="181"/>
      <c r="M271" s="181"/>
      <c r="N271" s="181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9"/>
      <c r="AK271" s="179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</row>
    <row r="272" ht="15.75" customHeight="1">
      <c r="A272" s="178"/>
      <c r="B272" s="178"/>
      <c r="C272" s="6"/>
      <c r="D272" s="6"/>
      <c r="E272" s="6"/>
      <c r="F272" s="180"/>
      <c r="G272" s="179"/>
      <c r="H272" s="179"/>
      <c r="I272" s="179"/>
      <c r="J272" s="179"/>
      <c r="K272" s="179"/>
      <c r="L272" s="181"/>
      <c r="M272" s="181"/>
      <c r="N272" s="181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</row>
    <row r="273" ht="15.75" customHeight="1">
      <c r="A273" s="178"/>
      <c r="B273" s="178"/>
      <c r="C273" s="6"/>
      <c r="D273" s="6"/>
      <c r="E273" s="6"/>
      <c r="F273" s="180"/>
      <c r="G273" s="179"/>
      <c r="H273" s="179"/>
      <c r="I273" s="179"/>
      <c r="J273" s="179"/>
      <c r="K273" s="179"/>
      <c r="L273" s="181"/>
      <c r="M273" s="181"/>
      <c r="N273" s="181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</row>
    <row r="274" ht="15.75" customHeight="1">
      <c r="A274" s="178"/>
      <c r="B274" s="178"/>
      <c r="C274" s="6"/>
      <c r="D274" s="6"/>
      <c r="E274" s="6"/>
      <c r="F274" s="180"/>
      <c r="G274" s="179"/>
      <c r="H274" s="179"/>
      <c r="I274" s="179"/>
      <c r="J274" s="179"/>
      <c r="K274" s="179"/>
      <c r="L274" s="181"/>
      <c r="M274" s="181"/>
      <c r="N274" s="181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</row>
    <row r="275" ht="15.75" customHeight="1">
      <c r="A275" s="178"/>
      <c r="B275" s="178"/>
      <c r="C275" s="6"/>
      <c r="D275" s="6"/>
      <c r="E275" s="6"/>
      <c r="F275" s="180"/>
      <c r="G275" s="179"/>
      <c r="H275" s="179"/>
      <c r="I275" s="179"/>
      <c r="J275" s="179"/>
      <c r="K275" s="179"/>
      <c r="L275" s="181"/>
      <c r="M275" s="181"/>
      <c r="N275" s="181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</row>
    <row r="276" ht="15.75" customHeight="1">
      <c r="A276" s="178"/>
      <c r="B276" s="178"/>
      <c r="C276" s="6"/>
      <c r="D276" s="6"/>
      <c r="E276" s="6"/>
      <c r="F276" s="180"/>
      <c r="G276" s="179"/>
      <c r="H276" s="179"/>
      <c r="I276" s="179"/>
      <c r="J276" s="179"/>
      <c r="K276" s="179"/>
      <c r="L276" s="181"/>
      <c r="M276" s="181"/>
      <c r="N276" s="181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</row>
    <row r="277" ht="15.75" customHeight="1">
      <c r="A277" s="178"/>
      <c r="B277" s="178"/>
      <c r="C277" s="6"/>
      <c r="D277" s="6"/>
      <c r="E277" s="6"/>
      <c r="F277" s="180"/>
      <c r="G277" s="179"/>
      <c r="H277" s="179"/>
      <c r="I277" s="179"/>
      <c r="J277" s="179"/>
      <c r="K277" s="179"/>
      <c r="L277" s="181"/>
      <c r="M277" s="181"/>
      <c r="N277" s="181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9"/>
      <c r="AK277" s="179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</row>
    <row r="278" ht="15.75" customHeight="1">
      <c r="A278" s="178"/>
      <c r="B278" s="178"/>
      <c r="C278" s="6"/>
      <c r="D278" s="6"/>
      <c r="E278" s="6"/>
      <c r="F278" s="180"/>
      <c r="G278" s="179"/>
      <c r="H278" s="179"/>
      <c r="I278" s="179"/>
      <c r="J278" s="179"/>
      <c r="K278" s="179"/>
      <c r="L278" s="181"/>
      <c r="M278" s="181"/>
      <c r="N278" s="181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</row>
    <row r="279" ht="15.75" customHeight="1">
      <c r="A279" s="178"/>
      <c r="B279" s="178"/>
      <c r="C279" s="6"/>
      <c r="D279" s="6"/>
      <c r="E279" s="6"/>
      <c r="F279" s="180"/>
      <c r="G279" s="179"/>
      <c r="H279" s="179"/>
      <c r="I279" s="179"/>
      <c r="J279" s="179"/>
      <c r="K279" s="179"/>
      <c r="L279" s="181"/>
      <c r="M279" s="181"/>
      <c r="N279" s="181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</row>
    <row r="280" ht="15.75" customHeight="1">
      <c r="A280" s="178"/>
      <c r="B280" s="178"/>
      <c r="C280" s="6"/>
      <c r="D280" s="6"/>
      <c r="E280" s="6"/>
      <c r="F280" s="180"/>
      <c r="G280" s="179"/>
      <c r="H280" s="179"/>
      <c r="I280" s="179"/>
      <c r="J280" s="179"/>
      <c r="K280" s="179"/>
      <c r="L280" s="181"/>
      <c r="M280" s="181"/>
      <c r="N280" s="181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</row>
    <row r="281" ht="15.75" customHeight="1">
      <c r="A281" s="178"/>
      <c r="B281" s="178"/>
      <c r="C281" s="6"/>
      <c r="D281" s="6"/>
      <c r="E281" s="6"/>
      <c r="F281" s="180"/>
      <c r="G281" s="179"/>
      <c r="H281" s="179"/>
      <c r="I281" s="179"/>
      <c r="J281" s="179"/>
      <c r="K281" s="179"/>
      <c r="L281" s="181"/>
      <c r="M281" s="181"/>
      <c r="N281" s="181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</row>
    <row r="282" ht="15.75" customHeight="1">
      <c r="A282" s="178"/>
      <c r="B282" s="178"/>
      <c r="C282" s="6"/>
      <c r="D282" s="6"/>
      <c r="E282" s="6"/>
      <c r="F282" s="180"/>
      <c r="G282" s="179"/>
      <c r="H282" s="179"/>
      <c r="I282" s="179"/>
      <c r="J282" s="179"/>
      <c r="K282" s="179"/>
      <c r="L282" s="181"/>
      <c r="M282" s="181"/>
      <c r="N282" s="181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</row>
    <row r="283" ht="15.75" customHeight="1">
      <c r="A283" s="178"/>
      <c r="B283" s="178"/>
      <c r="C283" s="6"/>
      <c r="D283" s="6"/>
      <c r="E283" s="6"/>
      <c r="F283" s="180"/>
      <c r="G283" s="179"/>
      <c r="H283" s="179"/>
      <c r="I283" s="179"/>
      <c r="J283" s="179"/>
      <c r="K283" s="179"/>
      <c r="L283" s="181"/>
      <c r="M283" s="181"/>
      <c r="N283" s="181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</row>
    <row r="284" ht="15.75" customHeight="1">
      <c r="A284" s="178"/>
      <c r="B284" s="178"/>
      <c r="C284" s="6"/>
      <c r="D284" s="6"/>
      <c r="E284" s="6"/>
      <c r="F284" s="180"/>
      <c r="G284" s="179"/>
      <c r="H284" s="179"/>
      <c r="I284" s="179"/>
      <c r="J284" s="179"/>
      <c r="K284" s="179"/>
      <c r="L284" s="181"/>
      <c r="M284" s="181"/>
      <c r="N284" s="181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</row>
    <row r="285" ht="15.75" customHeight="1">
      <c r="A285" s="178"/>
      <c r="B285" s="178"/>
      <c r="C285" s="6"/>
      <c r="D285" s="6"/>
      <c r="E285" s="6"/>
      <c r="F285" s="180"/>
      <c r="G285" s="179"/>
      <c r="H285" s="179"/>
      <c r="I285" s="179"/>
      <c r="J285" s="179"/>
      <c r="K285" s="179"/>
      <c r="L285" s="181"/>
      <c r="M285" s="181"/>
      <c r="N285" s="181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</row>
    <row r="286" ht="15.75" customHeight="1">
      <c r="A286" s="178"/>
      <c r="B286" s="178"/>
      <c r="C286" s="6"/>
      <c r="D286" s="6"/>
      <c r="E286" s="6"/>
      <c r="F286" s="180"/>
      <c r="G286" s="179"/>
      <c r="H286" s="179"/>
      <c r="I286" s="179"/>
      <c r="J286" s="179"/>
      <c r="K286" s="179"/>
      <c r="L286" s="181"/>
      <c r="M286" s="181"/>
      <c r="N286" s="181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79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</row>
    <row r="287" ht="15.75" customHeight="1">
      <c r="A287" s="178"/>
      <c r="B287" s="178"/>
      <c r="C287" s="6"/>
      <c r="D287" s="6"/>
      <c r="E287" s="6"/>
      <c r="F287" s="180"/>
      <c r="G287" s="179"/>
      <c r="H287" s="179"/>
      <c r="I287" s="179"/>
      <c r="J287" s="179"/>
      <c r="K287" s="179"/>
      <c r="L287" s="181"/>
      <c r="M287" s="181"/>
      <c r="N287" s="181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</row>
    <row r="288" ht="15.75" customHeight="1">
      <c r="A288" s="178"/>
      <c r="B288" s="178"/>
      <c r="C288" s="6"/>
      <c r="D288" s="6"/>
      <c r="E288" s="6"/>
      <c r="F288" s="180"/>
      <c r="G288" s="179"/>
      <c r="H288" s="179"/>
      <c r="I288" s="179"/>
      <c r="J288" s="179"/>
      <c r="K288" s="179"/>
      <c r="L288" s="181"/>
      <c r="M288" s="181"/>
      <c r="N288" s="181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</row>
    <row r="289" ht="15.75" customHeight="1">
      <c r="A289" s="178"/>
      <c r="B289" s="178"/>
      <c r="C289" s="6"/>
      <c r="D289" s="6"/>
      <c r="E289" s="6"/>
      <c r="F289" s="180"/>
      <c r="G289" s="179"/>
      <c r="H289" s="179"/>
      <c r="I289" s="179"/>
      <c r="J289" s="179"/>
      <c r="K289" s="179"/>
      <c r="L289" s="181"/>
      <c r="M289" s="181"/>
      <c r="N289" s="181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</row>
    <row r="290" ht="15.75" customHeight="1">
      <c r="A290" s="178"/>
      <c r="B290" s="178"/>
      <c r="C290" s="6"/>
      <c r="D290" s="6"/>
      <c r="E290" s="6"/>
      <c r="F290" s="180"/>
      <c r="G290" s="179"/>
      <c r="H290" s="179"/>
      <c r="I290" s="179"/>
      <c r="J290" s="179"/>
      <c r="K290" s="179"/>
      <c r="L290" s="181"/>
      <c r="M290" s="181"/>
      <c r="N290" s="181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</row>
    <row r="291" ht="15.75" customHeight="1">
      <c r="A291" s="178"/>
      <c r="B291" s="178"/>
      <c r="C291" s="6"/>
      <c r="D291" s="6"/>
      <c r="E291" s="6"/>
      <c r="F291" s="180"/>
      <c r="G291" s="179"/>
      <c r="H291" s="179"/>
      <c r="I291" s="179"/>
      <c r="J291" s="179"/>
      <c r="K291" s="179"/>
      <c r="L291" s="181"/>
      <c r="M291" s="181"/>
      <c r="N291" s="181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</row>
    <row r="292" ht="15.75" customHeight="1">
      <c r="A292" s="178"/>
      <c r="B292" s="178"/>
      <c r="C292" s="6"/>
      <c r="D292" s="6"/>
      <c r="E292" s="6"/>
      <c r="F292" s="180"/>
      <c r="G292" s="179"/>
      <c r="H292" s="179"/>
      <c r="I292" s="179"/>
      <c r="J292" s="179"/>
      <c r="K292" s="179"/>
      <c r="L292" s="181"/>
      <c r="M292" s="181"/>
      <c r="N292" s="181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79"/>
      <c r="AC292" s="179"/>
      <c r="AD292" s="179"/>
      <c r="AE292" s="179"/>
      <c r="AF292" s="179"/>
      <c r="AG292" s="179"/>
      <c r="AH292" s="179"/>
      <c r="AI292" s="179"/>
      <c r="AJ292" s="179"/>
      <c r="AK292" s="179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</row>
    <row r="293" ht="15.75" customHeight="1">
      <c r="A293" s="178"/>
      <c r="B293" s="178"/>
      <c r="C293" s="6"/>
      <c r="D293" s="6"/>
      <c r="E293" s="6"/>
      <c r="F293" s="180"/>
      <c r="G293" s="179"/>
      <c r="H293" s="179"/>
      <c r="I293" s="179"/>
      <c r="J293" s="179"/>
      <c r="K293" s="179"/>
      <c r="L293" s="181"/>
      <c r="M293" s="181"/>
      <c r="N293" s="181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79"/>
      <c r="AC293" s="179"/>
      <c r="AD293" s="179"/>
      <c r="AE293" s="179"/>
      <c r="AF293" s="179"/>
      <c r="AG293" s="179"/>
      <c r="AH293" s="179"/>
      <c r="AI293" s="179"/>
      <c r="AJ293" s="179"/>
      <c r="AK293" s="179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</row>
    <row r="294" ht="15.75" customHeight="1">
      <c r="A294" s="178"/>
      <c r="B294" s="178"/>
      <c r="C294" s="6"/>
      <c r="D294" s="6"/>
      <c r="E294" s="6"/>
      <c r="F294" s="180"/>
      <c r="G294" s="179"/>
      <c r="H294" s="179"/>
      <c r="I294" s="179"/>
      <c r="J294" s="179"/>
      <c r="K294" s="179"/>
      <c r="L294" s="181"/>
      <c r="M294" s="181"/>
      <c r="N294" s="181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</row>
    <row r="295" ht="15.75" customHeight="1">
      <c r="A295" s="178"/>
      <c r="B295" s="178"/>
      <c r="C295" s="6"/>
      <c r="D295" s="6"/>
      <c r="E295" s="6"/>
      <c r="F295" s="180"/>
      <c r="G295" s="179"/>
      <c r="H295" s="179"/>
      <c r="I295" s="179"/>
      <c r="J295" s="179"/>
      <c r="K295" s="179"/>
      <c r="L295" s="181"/>
      <c r="M295" s="181"/>
      <c r="N295" s="181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</row>
    <row r="296" ht="15.75" customHeight="1">
      <c r="A296" s="178"/>
      <c r="B296" s="178"/>
      <c r="C296" s="6"/>
      <c r="D296" s="6"/>
      <c r="E296" s="6"/>
      <c r="F296" s="180"/>
      <c r="G296" s="179"/>
      <c r="H296" s="179"/>
      <c r="I296" s="179"/>
      <c r="J296" s="179"/>
      <c r="K296" s="179"/>
      <c r="L296" s="181"/>
      <c r="M296" s="181"/>
      <c r="N296" s="181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</row>
    <row r="297" ht="15.75" customHeight="1">
      <c r="A297" s="178"/>
      <c r="B297" s="178"/>
      <c r="C297" s="6"/>
      <c r="D297" s="6"/>
      <c r="E297" s="6"/>
      <c r="F297" s="180"/>
      <c r="G297" s="179"/>
      <c r="H297" s="179"/>
      <c r="I297" s="179"/>
      <c r="J297" s="179"/>
      <c r="K297" s="179"/>
      <c r="L297" s="181"/>
      <c r="M297" s="181"/>
      <c r="N297" s="181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</row>
    <row r="298" ht="15.75" customHeight="1">
      <c r="A298" s="178"/>
      <c r="B298" s="178"/>
      <c r="C298" s="6"/>
      <c r="D298" s="6"/>
      <c r="E298" s="6"/>
      <c r="F298" s="180"/>
      <c r="G298" s="179"/>
      <c r="H298" s="179"/>
      <c r="I298" s="179"/>
      <c r="J298" s="179"/>
      <c r="K298" s="179"/>
      <c r="L298" s="181"/>
      <c r="M298" s="181"/>
      <c r="N298" s="181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</row>
    <row r="299" ht="15.75" customHeight="1">
      <c r="A299" s="178"/>
      <c r="B299" s="178"/>
      <c r="C299" s="6"/>
      <c r="D299" s="6"/>
      <c r="E299" s="6"/>
      <c r="F299" s="180"/>
      <c r="G299" s="179"/>
      <c r="H299" s="179"/>
      <c r="I299" s="179"/>
      <c r="J299" s="179"/>
      <c r="K299" s="179"/>
      <c r="L299" s="181"/>
      <c r="M299" s="181"/>
      <c r="N299" s="181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</row>
    <row r="300" ht="15.75" customHeight="1">
      <c r="A300" s="178"/>
      <c r="B300" s="178"/>
      <c r="C300" s="6"/>
      <c r="D300" s="6"/>
      <c r="E300" s="6"/>
      <c r="F300" s="180"/>
      <c r="G300" s="179"/>
      <c r="H300" s="179"/>
      <c r="I300" s="179"/>
      <c r="J300" s="179"/>
      <c r="K300" s="179"/>
      <c r="L300" s="181"/>
      <c r="M300" s="181"/>
      <c r="N300" s="181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</row>
    <row r="301" ht="15.75" customHeight="1">
      <c r="A301" s="178"/>
      <c r="B301" s="178"/>
      <c r="C301" s="6"/>
      <c r="D301" s="6"/>
      <c r="E301" s="6"/>
      <c r="F301" s="180"/>
      <c r="G301" s="179"/>
      <c r="H301" s="179"/>
      <c r="I301" s="179"/>
      <c r="J301" s="179"/>
      <c r="K301" s="179"/>
      <c r="L301" s="181"/>
      <c r="M301" s="181"/>
      <c r="N301" s="181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</row>
    <row r="302" ht="15.75" customHeight="1">
      <c r="A302" s="178"/>
      <c r="B302" s="178"/>
      <c r="C302" s="6"/>
      <c r="D302" s="6"/>
      <c r="E302" s="6"/>
      <c r="F302" s="180"/>
      <c r="G302" s="179"/>
      <c r="H302" s="179"/>
      <c r="I302" s="179"/>
      <c r="J302" s="179"/>
      <c r="K302" s="179"/>
      <c r="L302" s="181"/>
      <c r="M302" s="181"/>
      <c r="N302" s="181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</row>
    <row r="303" ht="15.75" customHeight="1">
      <c r="A303" s="178"/>
      <c r="B303" s="178"/>
      <c r="C303" s="6"/>
      <c r="D303" s="6"/>
      <c r="E303" s="6"/>
      <c r="F303" s="180"/>
      <c r="G303" s="179"/>
      <c r="H303" s="179"/>
      <c r="I303" s="179"/>
      <c r="J303" s="179"/>
      <c r="K303" s="179"/>
      <c r="L303" s="181"/>
      <c r="M303" s="181"/>
      <c r="N303" s="181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  <c r="AG303" s="179"/>
      <c r="AH303" s="179"/>
      <c r="AI303" s="179"/>
      <c r="AJ303" s="179"/>
      <c r="AK303" s="179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</row>
    <row r="304" ht="15.75" customHeight="1">
      <c r="A304" s="178"/>
      <c r="B304" s="178"/>
      <c r="C304" s="6"/>
      <c r="D304" s="6"/>
      <c r="E304" s="6"/>
      <c r="F304" s="180"/>
      <c r="G304" s="179"/>
      <c r="H304" s="179"/>
      <c r="I304" s="179"/>
      <c r="J304" s="179"/>
      <c r="K304" s="179"/>
      <c r="L304" s="181"/>
      <c r="M304" s="181"/>
      <c r="N304" s="181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79"/>
      <c r="AE304" s="179"/>
      <c r="AF304" s="179"/>
      <c r="AG304" s="179"/>
      <c r="AH304" s="179"/>
      <c r="AI304" s="179"/>
      <c r="AJ304" s="179"/>
      <c r="AK304" s="179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</row>
    <row r="305" ht="15.75" customHeight="1">
      <c r="A305" s="178"/>
      <c r="B305" s="178"/>
      <c r="C305" s="6"/>
      <c r="D305" s="6"/>
      <c r="E305" s="6"/>
      <c r="F305" s="180"/>
      <c r="G305" s="179"/>
      <c r="H305" s="179"/>
      <c r="I305" s="179"/>
      <c r="J305" s="179"/>
      <c r="K305" s="179"/>
      <c r="L305" s="181"/>
      <c r="M305" s="181"/>
      <c r="N305" s="181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79"/>
      <c r="AE305" s="179"/>
      <c r="AF305" s="179"/>
      <c r="AG305" s="179"/>
      <c r="AH305" s="179"/>
      <c r="AI305" s="179"/>
      <c r="AJ305" s="179"/>
      <c r="AK305" s="179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</row>
    <row r="306" ht="15.75" customHeight="1">
      <c r="A306" s="178"/>
      <c r="B306" s="178"/>
      <c r="C306" s="6"/>
      <c r="D306" s="6"/>
      <c r="E306" s="6"/>
      <c r="F306" s="180"/>
      <c r="G306" s="179"/>
      <c r="H306" s="179"/>
      <c r="I306" s="179"/>
      <c r="J306" s="179"/>
      <c r="K306" s="179"/>
      <c r="L306" s="181"/>
      <c r="M306" s="181"/>
      <c r="N306" s="181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79"/>
      <c r="AC306" s="179"/>
      <c r="AD306" s="179"/>
      <c r="AE306" s="179"/>
      <c r="AF306" s="179"/>
      <c r="AG306" s="179"/>
      <c r="AH306" s="179"/>
      <c r="AI306" s="179"/>
      <c r="AJ306" s="179"/>
      <c r="AK306" s="179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</row>
    <row r="307" ht="15.75" customHeight="1">
      <c r="A307" s="178"/>
      <c r="B307" s="178"/>
      <c r="C307" s="6"/>
      <c r="D307" s="6"/>
      <c r="E307" s="6"/>
      <c r="F307" s="180"/>
      <c r="G307" s="179"/>
      <c r="H307" s="179"/>
      <c r="I307" s="179"/>
      <c r="J307" s="179"/>
      <c r="K307" s="179"/>
      <c r="L307" s="181"/>
      <c r="M307" s="181"/>
      <c r="N307" s="181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79"/>
      <c r="AE307" s="179"/>
      <c r="AF307" s="179"/>
      <c r="AG307" s="179"/>
      <c r="AH307" s="179"/>
      <c r="AI307" s="179"/>
      <c r="AJ307" s="179"/>
      <c r="AK307" s="179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</row>
    <row r="308" ht="15.75" customHeight="1">
      <c r="A308" s="178"/>
      <c r="B308" s="178"/>
      <c r="C308" s="6"/>
      <c r="D308" s="6"/>
      <c r="E308" s="6"/>
      <c r="F308" s="180"/>
      <c r="G308" s="179"/>
      <c r="H308" s="179"/>
      <c r="I308" s="179"/>
      <c r="J308" s="179"/>
      <c r="K308" s="179"/>
      <c r="L308" s="181"/>
      <c r="M308" s="181"/>
      <c r="N308" s="181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  <c r="AC308" s="179"/>
      <c r="AD308" s="179"/>
      <c r="AE308" s="179"/>
      <c r="AF308" s="179"/>
      <c r="AG308" s="179"/>
      <c r="AH308" s="179"/>
      <c r="AI308" s="179"/>
      <c r="AJ308" s="179"/>
      <c r="AK308" s="179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</row>
    <row r="309" ht="15.75" customHeight="1">
      <c r="A309" s="178"/>
      <c r="B309" s="178"/>
      <c r="C309" s="6"/>
      <c r="D309" s="6"/>
      <c r="E309" s="6"/>
      <c r="F309" s="180"/>
      <c r="G309" s="179"/>
      <c r="H309" s="179"/>
      <c r="I309" s="179"/>
      <c r="J309" s="179"/>
      <c r="K309" s="179"/>
      <c r="L309" s="181"/>
      <c r="M309" s="181"/>
      <c r="N309" s="181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</row>
    <row r="310" ht="15.75" customHeight="1">
      <c r="A310" s="178"/>
      <c r="B310" s="178"/>
      <c r="C310" s="6"/>
      <c r="D310" s="6"/>
      <c r="E310" s="6"/>
      <c r="F310" s="180"/>
      <c r="G310" s="179"/>
      <c r="H310" s="179"/>
      <c r="I310" s="179"/>
      <c r="J310" s="179"/>
      <c r="K310" s="179"/>
      <c r="L310" s="181"/>
      <c r="M310" s="181"/>
      <c r="N310" s="181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79"/>
      <c r="AC310" s="179"/>
      <c r="AD310" s="179"/>
      <c r="AE310" s="179"/>
      <c r="AF310" s="179"/>
      <c r="AG310" s="179"/>
      <c r="AH310" s="179"/>
      <c r="AI310" s="179"/>
      <c r="AJ310" s="179"/>
      <c r="AK310" s="179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</row>
    <row r="311" ht="15.75" customHeight="1">
      <c r="A311" s="178"/>
      <c r="B311" s="178"/>
      <c r="C311" s="6"/>
      <c r="D311" s="6"/>
      <c r="E311" s="6"/>
      <c r="F311" s="180"/>
      <c r="G311" s="179"/>
      <c r="H311" s="179"/>
      <c r="I311" s="179"/>
      <c r="J311" s="179"/>
      <c r="K311" s="179"/>
      <c r="L311" s="181"/>
      <c r="M311" s="181"/>
      <c r="N311" s="181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79"/>
      <c r="AC311" s="179"/>
      <c r="AD311" s="179"/>
      <c r="AE311" s="179"/>
      <c r="AF311" s="179"/>
      <c r="AG311" s="179"/>
      <c r="AH311" s="179"/>
      <c r="AI311" s="179"/>
      <c r="AJ311" s="179"/>
      <c r="AK311" s="179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</row>
    <row r="312" ht="15.75" customHeight="1">
      <c r="A312" s="178"/>
      <c r="B312" s="178"/>
      <c r="C312" s="6"/>
      <c r="D312" s="6"/>
      <c r="E312" s="6"/>
      <c r="F312" s="180"/>
      <c r="G312" s="179"/>
      <c r="H312" s="179"/>
      <c r="I312" s="179"/>
      <c r="J312" s="179"/>
      <c r="K312" s="179"/>
      <c r="L312" s="181"/>
      <c r="M312" s="181"/>
      <c r="N312" s="181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</row>
    <row r="313" ht="15.75" customHeight="1">
      <c r="A313" s="178"/>
      <c r="B313" s="178"/>
      <c r="C313" s="6"/>
      <c r="D313" s="6"/>
      <c r="E313" s="6"/>
      <c r="F313" s="180"/>
      <c r="G313" s="179"/>
      <c r="H313" s="179"/>
      <c r="I313" s="179"/>
      <c r="J313" s="179"/>
      <c r="K313" s="179"/>
      <c r="L313" s="181"/>
      <c r="M313" s="181"/>
      <c r="N313" s="181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</row>
    <row r="314" ht="15.75" customHeight="1">
      <c r="A314" s="178"/>
      <c r="B314" s="178"/>
      <c r="C314" s="6"/>
      <c r="D314" s="6"/>
      <c r="E314" s="6"/>
      <c r="F314" s="180"/>
      <c r="G314" s="179"/>
      <c r="H314" s="179"/>
      <c r="I314" s="179"/>
      <c r="J314" s="179"/>
      <c r="K314" s="179"/>
      <c r="L314" s="181"/>
      <c r="M314" s="181"/>
      <c r="N314" s="181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</row>
    <row r="315" ht="15.75" customHeight="1">
      <c r="A315" s="178"/>
      <c r="B315" s="178"/>
      <c r="C315" s="6"/>
      <c r="D315" s="6"/>
      <c r="E315" s="6"/>
      <c r="F315" s="180"/>
      <c r="G315" s="179"/>
      <c r="H315" s="179"/>
      <c r="I315" s="179"/>
      <c r="J315" s="179"/>
      <c r="K315" s="179"/>
      <c r="L315" s="181"/>
      <c r="M315" s="181"/>
      <c r="N315" s="181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</row>
    <row r="316" ht="15.75" customHeight="1">
      <c r="A316" s="178"/>
      <c r="B316" s="178"/>
      <c r="C316" s="6"/>
      <c r="D316" s="6"/>
      <c r="E316" s="6"/>
      <c r="F316" s="180"/>
      <c r="G316" s="179"/>
      <c r="H316" s="179"/>
      <c r="I316" s="179"/>
      <c r="J316" s="179"/>
      <c r="K316" s="179"/>
      <c r="L316" s="181"/>
      <c r="M316" s="181"/>
      <c r="N316" s="181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</row>
    <row r="317" ht="15.75" customHeight="1">
      <c r="A317" s="178"/>
      <c r="B317" s="178"/>
      <c r="C317" s="6"/>
      <c r="D317" s="6"/>
      <c r="E317" s="6"/>
      <c r="F317" s="180"/>
      <c r="G317" s="179"/>
      <c r="H317" s="179"/>
      <c r="I317" s="179"/>
      <c r="J317" s="179"/>
      <c r="K317" s="179"/>
      <c r="L317" s="181"/>
      <c r="M317" s="181"/>
      <c r="N317" s="181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</row>
    <row r="318" ht="15.75" customHeight="1">
      <c r="A318" s="178"/>
      <c r="B318" s="178"/>
      <c r="C318" s="6"/>
      <c r="D318" s="6"/>
      <c r="E318" s="6"/>
      <c r="F318" s="180"/>
      <c r="G318" s="179"/>
      <c r="H318" s="179"/>
      <c r="I318" s="179"/>
      <c r="J318" s="179"/>
      <c r="K318" s="179"/>
      <c r="L318" s="181"/>
      <c r="M318" s="181"/>
      <c r="N318" s="181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</row>
    <row r="319" ht="15.75" customHeight="1">
      <c r="A319" s="178"/>
      <c r="B319" s="178"/>
      <c r="C319" s="6"/>
      <c r="D319" s="6"/>
      <c r="E319" s="6"/>
      <c r="F319" s="180"/>
      <c r="G319" s="179"/>
      <c r="H319" s="179"/>
      <c r="I319" s="179"/>
      <c r="J319" s="179"/>
      <c r="K319" s="179"/>
      <c r="L319" s="181"/>
      <c r="M319" s="181"/>
      <c r="N319" s="181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</row>
    <row r="320" ht="15.75" customHeight="1">
      <c r="A320" s="178"/>
      <c r="B320" s="178"/>
      <c r="C320" s="6"/>
      <c r="D320" s="6"/>
      <c r="E320" s="6"/>
      <c r="F320" s="180"/>
      <c r="G320" s="179"/>
      <c r="H320" s="179"/>
      <c r="I320" s="179"/>
      <c r="J320" s="179"/>
      <c r="K320" s="179"/>
      <c r="L320" s="181"/>
      <c r="M320" s="181"/>
      <c r="N320" s="181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</row>
    <row r="321" ht="15.75" customHeight="1">
      <c r="A321" s="178"/>
      <c r="B321" s="178"/>
      <c r="C321" s="6"/>
      <c r="D321" s="6"/>
      <c r="E321" s="6"/>
      <c r="F321" s="180"/>
      <c r="G321" s="179"/>
      <c r="H321" s="179"/>
      <c r="I321" s="179"/>
      <c r="J321" s="179"/>
      <c r="K321" s="179"/>
      <c r="L321" s="181"/>
      <c r="M321" s="181"/>
      <c r="N321" s="181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79"/>
      <c r="AE321" s="179"/>
      <c r="AF321" s="179"/>
      <c r="AG321" s="179"/>
      <c r="AH321" s="179"/>
      <c r="AI321" s="179"/>
      <c r="AJ321" s="179"/>
      <c r="AK321" s="179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</row>
    <row r="322" ht="15.75" customHeight="1">
      <c r="A322" s="178"/>
      <c r="B322" s="178"/>
      <c r="C322" s="6"/>
      <c r="D322" s="6"/>
      <c r="E322" s="6"/>
      <c r="F322" s="180"/>
      <c r="G322" s="179"/>
      <c r="H322" s="179"/>
      <c r="I322" s="179"/>
      <c r="J322" s="179"/>
      <c r="K322" s="179"/>
      <c r="L322" s="181"/>
      <c r="M322" s="181"/>
      <c r="N322" s="181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79"/>
      <c r="AD322" s="179"/>
      <c r="AE322" s="179"/>
      <c r="AF322" s="179"/>
      <c r="AG322" s="179"/>
      <c r="AH322" s="179"/>
      <c r="AI322" s="179"/>
      <c r="AJ322" s="179"/>
      <c r="AK322" s="179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</row>
    <row r="323" ht="15.75" customHeight="1">
      <c r="A323" s="178"/>
      <c r="B323" s="178"/>
      <c r="C323" s="6"/>
      <c r="D323" s="6"/>
      <c r="E323" s="6"/>
      <c r="F323" s="180"/>
      <c r="G323" s="179"/>
      <c r="H323" s="179"/>
      <c r="I323" s="179"/>
      <c r="J323" s="179"/>
      <c r="K323" s="179"/>
      <c r="L323" s="181"/>
      <c r="M323" s="181"/>
      <c r="N323" s="181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79"/>
      <c r="AD323" s="179"/>
      <c r="AE323" s="179"/>
      <c r="AF323" s="179"/>
      <c r="AG323" s="179"/>
      <c r="AH323" s="179"/>
      <c r="AI323" s="179"/>
      <c r="AJ323" s="179"/>
      <c r="AK323" s="179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</row>
    <row r="324" ht="15.75" customHeight="1">
      <c r="A324" s="178"/>
      <c r="B324" s="178"/>
      <c r="C324" s="6"/>
      <c r="D324" s="6"/>
      <c r="E324" s="6"/>
      <c r="F324" s="180"/>
      <c r="G324" s="179"/>
      <c r="H324" s="179"/>
      <c r="I324" s="179"/>
      <c r="J324" s="179"/>
      <c r="K324" s="179"/>
      <c r="L324" s="181"/>
      <c r="M324" s="181"/>
      <c r="N324" s="181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79"/>
      <c r="AD324" s="179"/>
      <c r="AE324" s="179"/>
      <c r="AF324" s="179"/>
      <c r="AG324" s="179"/>
      <c r="AH324" s="179"/>
      <c r="AI324" s="179"/>
      <c r="AJ324" s="179"/>
      <c r="AK324" s="179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</row>
    <row r="325" ht="15.75" customHeight="1">
      <c r="A325" s="178"/>
      <c r="B325" s="178"/>
      <c r="C325" s="6"/>
      <c r="D325" s="6"/>
      <c r="E325" s="6"/>
      <c r="F325" s="180"/>
      <c r="G325" s="179"/>
      <c r="H325" s="179"/>
      <c r="I325" s="179"/>
      <c r="J325" s="179"/>
      <c r="K325" s="179"/>
      <c r="L325" s="181"/>
      <c r="M325" s="181"/>
      <c r="N325" s="181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79"/>
      <c r="AC325" s="179"/>
      <c r="AD325" s="179"/>
      <c r="AE325" s="179"/>
      <c r="AF325" s="179"/>
      <c r="AG325" s="179"/>
      <c r="AH325" s="179"/>
      <c r="AI325" s="179"/>
      <c r="AJ325" s="179"/>
      <c r="AK325" s="179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</row>
    <row r="326" ht="15.75" customHeight="1">
      <c r="A326" s="178"/>
      <c r="B326" s="178"/>
      <c r="C326" s="6"/>
      <c r="D326" s="6"/>
      <c r="E326" s="6"/>
      <c r="F326" s="180"/>
      <c r="G326" s="179"/>
      <c r="H326" s="179"/>
      <c r="I326" s="179"/>
      <c r="J326" s="179"/>
      <c r="K326" s="179"/>
      <c r="L326" s="181"/>
      <c r="M326" s="181"/>
      <c r="N326" s="181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79"/>
      <c r="AE326" s="179"/>
      <c r="AF326" s="179"/>
      <c r="AG326" s="179"/>
      <c r="AH326" s="179"/>
      <c r="AI326" s="179"/>
      <c r="AJ326" s="179"/>
      <c r="AK326" s="179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</row>
    <row r="327" ht="15.75" customHeight="1">
      <c r="A327" s="178"/>
      <c r="B327" s="178"/>
      <c r="C327" s="6"/>
      <c r="D327" s="6"/>
      <c r="E327" s="6"/>
      <c r="F327" s="180"/>
      <c r="G327" s="179"/>
      <c r="H327" s="179"/>
      <c r="I327" s="179"/>
      <c r="J327" s="179"/>
      <c r="K327" s="179"/>
      <c r="L327" s="181"/>
      <c r="M327" s="181"/>
      <c r="N327" s="181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  <c r="AK327" s="179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</row>
    <row r="328" ht="15.75" customHeight="1">
      <c r="A328" s="178"/>
      <c r="B328" s="178"/>
      <c r="C328" s="6"/>
      <c r="D328" s="6"/>
      <c r="E328" s="6"/>
      <c r="F328" s="180"/>
      <c r="G328" s="179"/>
      <c r="H328" s="179"/>
      <c r="I328" s="179"/>
      <c r="J328" s="179"/>
      <c r="K328" s="179"/>
      <c r="L328" s="181"/>
      <c r="M328" s="181"/>
      <c r="N328" s="181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79"/>
      <c r="AE328" s="179"/>
      <c r="AF328" s="179"/>
      <c r="AG328" s="179"/>
      <c r="AH328" s="179"/>
      <c r="AI328" s="179"/>
      <c r="AJ328" s="179"/>
      <c r="AK328" s="179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</row>
    <row r="329" ht="15.75" customHeight="1">
      <c r="A329" s="178"/>
      <c r="B329" s="178"/>
      <c r="C329" s="6"/>
      <c r="D329" s="6"/>
      <c r="E329" s="6"/>
      <c r="F329" s="180"/>
      <c r="G329" s="179"/>
      <c r="H329" s="179"/>
      <c r="I329" s="179"/>
      <c r="J329" s="179"/>
      <c r="K329" s="179"/>
      <c r="L329" s="181"/>
      <c r="M329" s="181"/>
      <c r="N329" s="181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79"/>
      <c r="AE329" s="179"/>
      <c r="AF329" s="179"/>
      <c r="AG329" s="179"/>
      <c r="AH329" s="179"/>
      <c r="AI329" s="179"/>
      <c r="AJ329" s="179"/>
      <c r="AK329" s="179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</row>
    <row r="330" ht="15.75" customHeight="1">
      <c r="A330" s="178"/>
      <c r="B330" s="178"/>
      <c r="C330" s="6"/>
      <c r="D330" s="6"/>
      <c r="E330" s="6"/>
      <c r="F330" s="180"/>
      <c r="G330" s="179"/>
      <c r="H330" s="179"/>
      <c r="I330" s="179"/>
      <c r="J330" s="179"/>
      <c r="K330" s="179"/>
      <c r="L330" s="181"/>
      <c r="M330" s="181"/>
      <c r="N330" s="181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</row>
    <row r="331" ht="15.75" customHeight="1">
      <c r="A331" s="178"/>
      <c r="B331" s="178"/>
      <c r="C331" s="6"/>
      <c r="D331" s="6"/>
      <c r="E331" s="6"/>
      <c r="F331" s="180"/>
      <c r="G331" s="179"/>
      <c r="H331" s="179"/>
      <c r="I331" s="179"/>
      <c r="J331" s="179"/>
      <c r="K331" s="179"/>
      <c r="L331" s="181"/>
      <c r="M331" s="181"/>
      <c r="N331" s="181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</row>
    <row r="332" ht="15.75" customHeight="1">
      <c r="A332" s="178"/>
      <c r="B332" s="178"/>
      <c r="C332" s="6"/>
      <c r="D332" s="6"/>
      <c r="E332" s="6"/>
      <c r="F332" s="180"/>
      <c r="G332" s="179"/>
      <c r="H332" s="179"/>
      <c r="I332" s="179"/>
      <c r="J332" s="179"/>
      <c r="K332" s="179"/>
      <c r="L332" s="181"/>
      <c r="M332" s="181"/>
      <c r="N332" s="181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</row>
    <row r="333" ht="15.75" customHeight="1">
      <c r="A333" s="178"/>
      <c r="B333" s="178"/>
      <c r="C333" s="6"/>
      <c r="D333" s="6"/>
      <c r="E333" s="6"/>
      <c r="F333" s="180"/>
      <c r="G333" s="179"/>
      <c r="H333" s="179"/>
      <c r="I333" s="179"/>
      <c r="J333" s="179"/>
      <c r="K333" s="179"/>
      <c r="L333" s="181"/>
      <c r="M333" s="181"/>
      <c r="N333" s="181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</row>
    <row r="334" ht="15.75" customHeight="1">
      <c r="A334" s="178"/>
      <c r="B334" s="178"/>
      <c r="C334" s="6"/>
      <c r="D334" s="6"/>
      <c r="E334" s="6"/>
      <c r="F334" s="180"/>
      <c r="G334" s="179"/>
      <c r="H334" s="179"/>
      <c r="I334" s="179"/>
      <c r="J334" s="179"/>
      <c r="K334" s="179"/>
      <c r="L334" s="181"/>
      <c r="M334" s="181"/>
      <c r="N334" s="181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</row>
    <row r="335" ht="15.75" customHeight="1">
      <c r="A335" s="178"/>
      <c r="B335" s="178"/>
      <c r="C335" s="6"/>
      <c r="D335" s="6"/>
      <c r="E335" s="6"/>
      <c r="F335" s="180"/>
      <c r="G335" s="179"/>
      <c r="H335" s="179"/>
      <c r="I335" s="179"/>
      <c r="J335" s="179"/>
      <c r="K335" s="179"/>
      <c r="L335" s="181"/>
      <c r="M335" s="181"/>
      <c r="N335" s="181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</row>
    <row r="336" ht="15.75" customHeight="1">
      <c r="A336" s="178"/>
      <c r="B336" s="178"/>
      <c r="C336" s="6"/>
      <c r="D336" s="6"/>
      <c r="E336" s="6"/>
      <c r="F336" s="180"/>
      <c r="G336" s="179"/>
      <c r="H336" s="179"/>
      <c r="I336" s="179"/>
      <c r="J336" s="179"/>
      <c r="K336" s="179"/>
      <c r="L336" s="181"/>
      <c r="M336" s="181"/>
      <c r="N336" s="181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</row>
    <row r="337" ht="15.75" customHeight="1">
      <c r="A337" s="178"/>
      <c r="B337" s="178"/>
      <c r="C337" s="6"/>
      <c r="D337" s="6"/>
      <c r="E337" s="6"/>
      <c r="F337" s="180"/>
      <c r="G337" s="179"/>
      <c r="H337" s="179"/>
      <c r="I337" s="179"/>
      <c r="J337" s="179"/>
      <c r="K337" s="179"/>
      <c r="L337" s="181"/>
      <c r="M337" s="181"/>
      <c r="N337" s="181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</row>
    <row r="338" ht="15.75" customHeight="1">
      <c r="A338" s="178"/>
      <c r="B338" s="178"/>
      <c r="C338" s="6"/>
      <c r="D338" s="6"/>
      <c r="E338" s="6"/>
      <c r="F338" s="180"/>
      <c r="G338" s="179"/>
      <c r="H338" s="179"/>
      <c r="I338" s="179"/>
      <c r="J338" s="179"/>
      <c r="K338" s="179"/>
      <c r="L338" s="181"/>
      <c r="M338" s="181"/>
      <c r="N338" s="181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</row>
    <row r="339" ht="15.75" customHeight="1">
      <c r="A339" s="178"/>
      <c r="B339" s="178"/>
      <c r="C339" s="6"/>
      <c r="D339" s="6"/>
      <c r="E339" s="6"/>
      <c r="F339" s="180"/>
      <c r="G339" s="179"/>
      <c r="H339" s="179"/>
      <c r="I339" s="179"/>
      <c r="J339" s="179"/>
      <c r="K339" s="179"/>
      <c r="L339" s="181"/>
      <c r="M339" s="181"/>
      <c r="N339" s="181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  <c r="AB339" s="179"/>
      <c r="AC339" s="179"/>
      <c r="AD339" s="179"/>
      <c r="AE339" s="179"/>
      <c r="AF339" s="179"/>
      <c r="AG339" s="179"/>
      <c r="AH339" s="179"/>
      <c r="AI339" s="179"/>
      <c r="AJ339" s="179"/>
      <c r="AK339" s="179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</row>
    <row r="340" ht="15.75" customHeight="1">
      <c r="A340" s="178"/>
      <c r="B340" s="178"/>
      <c r="C340" s="6"/>
      <c r="D340" s="6"/>
      <c r="E340" s="6"/>
      <c r="F340" s="180"/>
      <c r="G340" s="179"/>
      <c r="H340" s="179"/>
      <c r="I340" s="179"/>
      <c r="J340" s="179"/>
      <c r="K340" s="179"/>
      <c r="L340" s="181"/>
      <c r="M340" s="181"/>
      <c r="N340" s="181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  <c r="AA340" s="179"/>
      <c r="AB340" s="179"/>
      <c r="AC340" s="179"/>
      <c r="AD340" s="179"/>
      <c r="AE340" s="179"/>
      <c r="AF340" s="179"/>
      <c r="AG340" s="179"/>
      <c r="AH340" s="179"/>
      <c r="AI340" s="179"/>
      <c r="AJ340" s="179"/>
      <c r="AK340" s="179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</row>
    <row r="341" ht="15.75" customHeight="1">
      <c r="A341" s="178"/>
      <c r="B341" s="178"/>
      <c r="C341" s="6"/>
      <c r="D341" s="6"/>
      <c r="E341" s="6"/>
      <c r="F341" s="180"/>
      <c r="G341" s="179"/>
      <c r="H341" s="179"/>
      <c r="I341" s="179"/>
      <c r="J341" s="179"/>
      <c r="K341" s="179"/>
      <c r="L341" s="181"/>
      <c r="M341" s="181"/>
      <c r="N341" s="181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9"/>
      <c r="AF341" s="179"/>
      <c r="AG341" s="179"/>
      <c r="AH341" s="179"/>
      <c r="AI341" s="179"/>
      <c r="AJ341" s="179"/>
      <c r="AK341" s="179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</row>
    <row r="342" ht="15.75" customHeight="1">
      <c r="A342" s="178"/>
      <c r="B342" s="178"/>
      <c r="C342" s="6"/>
      <c r="D342" s="6"/>
      <c r="E342" s="6"/>
      <c r="F342" s="180"/>
      <c r="G342" s="179"/>
      <c r="H342" s="179"/>
      <c r="I342" s="179"/>
      <c r="J342" s="179"/>
      <c r="K342" s="179"/>
      <c r="L342" s="181"/>
      <c r="M342" s="181"/>
      <c r="N342" s="181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  <c r="AA342" s="179"/>
      <c r="AB342" s="179"/>
      <c r="AC342" s="179"/>
      <c r="AD342" s="179"/>
      <c r="AE342" s="179"/>
      <c r="AF342" s="179"/>
      <c r="AG342" s="179"/>
      <c r="AH342" s="179"/>
      <c r="AI342" s="179"/>
      <c r="AJ342" s="179"/>
      <c r="AK342" s="179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</row>
    <row r="343" ht="15.75" customHeight="1">
      <c r="A343" s="178"/>
      <c r="B343" s="178"/>
      <c r="C343" s="6"/>
      <c r="D343" s="6"/>
      <c r="E343" s="6"/>
      <c r="F343" s="180"/>
      <c r="G343" s="179"/>
      <c r="H343" s="179"/>
      <c r="I343" s="179"/>
      <c r="J343" s="179"/>
      <c r="K343" s="179"/>
      <c r="L343" s="181"/>
      <c r="M343" s="181"/>
      <c r="N343" s="181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9"/>
      <c r="AA343" s="179"/>
      <c r="AB343" s="179"/>
      <c r="AC343" s="179"/>
      <c r="AD343" s="179"/>
      <c r="AE343" s="179"/>
      <c r="AF343" s="179"/>
      <c r="AG343" s="179"/>
      <c r="AH343" s="179"/>
      <c r="AI343" s="179"/>
      <c r="AJ343" s="179"/>
      <c r="AK343" s="179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</row>
    <row r="344" ht="15.75" customHeight="1">
      <c r="A344" s="178"/>
      <c r="B344" s="178"/>
      <c r="C344" s="6"/>
      <c r="D344" s="6"/>
      <c r="E344" s="6"/>
      <c r="F344" s="180"/>
      <c r="G344" s="179"/>
      <c r="H344" s="179"/>
      <c r="I344" s="179"/>
      <c r="J344" s="179"/>
      <c r="K344" s="179"/>
      <c r="L344" s="181"/>
      <c r="M344" s="181"/>
      <c r="N344" s="181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</row>
    <row r="345" ht="15.75" customHeight="1">
      <c r="A345" s="178"/>
      <c r="B345" s="178"/>
      <c r="C345" s="6"/>
      <c r="D345" s="6"/>
      <c r="E345" s="6"/>
      <c r="F345" s="180"/>
      <c r="G345" s="179"/>
      <c r="H345" s="179"/>
      <c r="I345" s="179"/>
      <c r="J345" s="179"/>
      <c r="K345" s="179"/>
      <c r="L345" s="181"/>
      <c r="M345" s="181"/>
      <c r="N345" s="181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  <c r="AA345" s="179"/>
      <c r="AB345" s="179"/>
      <c r="AC345" s="179"/>
      <c r="AD345" s="179"/>
      <c r="AE345" s="179"/>
      <c r="AF345" s="179"/>
      <c r="AG345" s="179"/>
      <c r="AH345" s="179"/>
      <c r="AI345" s="179"/>
      <c r="AJ345" s="179"/>
      <c r="AK345" s="179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</row>
    <row r="346" ht="15.75" customHeight="1">
      <c r="A346" s="178"/>
      <c r="B346" s="178"/>
      <c r="C346" s="6"/>
      <c r="D346" s="6"/>
      <c r="E346" s="6"/>
      <c r="F346" s="180"/>
      <c r="G346" s="179"/>
      <c r="H346" s="179"/>
      <c r="I346" s="179"/>
      <c r="J346" s="179"/>
      <c r="K346" s="179"/>
      <c r="L346" s="181"/>
      <c r="M346" s="181"/>
      <c r="N346" s="181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  <c r="AA346" s="179"/>
      <c r="AB346" s="179"/>
      <c r="AC346" s="179"/>
      <c r="AD346" s="179"/>
      <c r="AE346" s="179"/>
      <c r="AF346" s="179"/>
      <c r="AG346" s="179"/>
      <c r="AH346" s="179"/>
      <c r="AI346" s="179"/>
      <c r="AJ346" s="179"/>
      <c r="AK346" s="179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</row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K$146">
    <sortState ref="A1:AK146">
      <sortCondition ref="A1:A146"/>
    </sortState>
  </autoFilter>
  <printOptions/>
  <pageMargins bottom="0.75" footer="0.0" header="0.0" left="0.7" right="0.7" top="0.75"/>
  <pageSetup paperSize="9" orientation="portrait"/>
  <drawing r:id="rId1"/>
</worksheet>
</file>